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2O Templa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<sst xmlns="http://schemas.openxmlformats.org/spreadsheetml/2006/main" count="77" uniqueCount="70">
  <si>
    <t xml:space="preserve">Radon in Water Spreadsheet</t>
  </si>
  <si>
    <t xml:space="preserve">V4.4</t>
  </si>
  <si>
    <t xml:space="preserve">10 Jun 2019</t>
  </si>
  <si>
    <t xml:space="preserve">(data entry only in blue background fields)</t>
  </si>
  <si>
    <t xml:space="preserve">US/SI Units</t>
  </si>
  <si>
    <t xml:space="preserve">US</t>
  </si>
  <si>
    <t xml:space="preserve">Use 115% CF?</t>
  </si>
  <si>
    <t xml:space="preserve">Yes</t>
  </si>
  <si>
    <t xml:space="preserve">Electret</t>
  </si>
  <si>
    <t xml:space="preserve">Sample Collection</t>
  </si>
  <si>
    <t xml:space="preserve">Start</t>
  </si>
  <si>
    <t xml:space="preserve">End</t>
  </si>
  <si>
    <t xml:space="preserve">Total Days</t>
  </si>
  <si>
    <t xml:space="preserve">Initial</t>
  </si>
  <si>
    <t xml:space="preserve">Final</t>
  </si>
  <si>
    <t xml:space="preserve">EIC Configuration Constants</t>
  </si>
  <si>
    <t xml:space="preserve">EIC</t>
  </si>
  <si>
    <t xml:space="preserve">Elevation</t>
  </si>
  <si>
    <t xml:space="preserve">γ</t>
  </si>
  <si>
    <t xml:space="preserve">Corrected</t>
  </si>
  <si>
    <t xml:space="preserve">Temperature</t>
  </si>
  <si>
    <t xml:space="preserve">Ostwald</t>
  </si>
  <si>
    <t xml:space="preserve">Radon in Air</t>
  </si>
  <si>
    <t xml:space="preserve">k1</t>
  </si>
  <si>
    <t xml:space="preserve">k2</t>
  </si>
  <si>
    <t xml:space="preserve">k3</t>
  </si>
  <si>
    <t xml:space="preserve">k4</t>
  </si>
  <si>
    <t xml:space="preserve">k5</t>
  </si>
  <si>
    <t xml:space="preserve">k6</t>
  </si>
  <si>
    <t xml:space="preserve">k7</t>
  </si>
  <si>
    <t xml:space="preserve">CF</t>
  </si>
  <si>
    <t xml:space="preserve">Radon in Water</t>
  </si>
  <si>
    <t xml:space="preserve">±</t>
  </si>
  <si>
    <t xml:space="preserve">%</t>
  </si>
  <si>
    <t xml:space="preserve">Error 1</t>
  </si>
  <si>
    <t xml:space="preserve">Error 2</t>
  </si>
  <si>
    <t xml:space="preserve">Error 3</t>
  </si>
  <si>
    <t xml:space="preserve">Total Error</t>
  </si>
  <si>
    <t xml:space="preserve">Serial</t>
  </si>
  <si>
    <t xml:space="preserve">Date/Time</t>
  </si>
  <si>
    <t xml:space="preserve">Delay</t>
  </si>
  <si>
    <t xml:space="preserve">Exposure</t>
  </si>
  <si>
    <t xml:space="preserve">Voltage</t>
  </si>
  <si>
    <t xml:space="preserve">A</t>
  </si>
  <si>
    <t xml:space="preserve">B</t>
  </si>
  <si>
    <t xml:space="preserve">G</t>
  </si>
  <si>
    <t xml:space="preserve">Volume (L)</t>
  </si>
  <si>
    <t xml:space="preserve">Config</t>
  </si>
  <si>
    <t xml:space="preserve">Air</t>
  </si>
  <si>
    <t xml:space="preserve">Water</t>
  </si>
  <si>
    <t xml:space="preserve">Air Volume</t>
  </si>
  <si>
    <t xml:space="preserve">Coefficient</t>
  </si>
  <si>
    <t xml:space="preserve">k</t>
  </si>
  <si>
    <t xml:space="preserve">kT</t>
  </si>
  <si>
    <t xml:space="preserve">AvC(Rn)A*kT</t>
  </si>
  <si>
    <t xml:space="preserve">VA/VW+L</t>
  </si>
  <si>
    <t xml:space="preserve">k1*k2</t>
  </si>
  <si>
    <t xml:space="preserve">exp(-kD)</t>
  </si>
  <si>
    <t xml:space="preserve">1-exp(-kT)</t>
  </si>
  <si>
    <t xml:space="preserve">k4*k5</t>
  </si>
  <si>
    <t xml:space="preserve">k3/k6</t>
  </si>
  <si>
    <t xml:space="preserve">k7*1.15</t>
  </si>
  <si>
    <t xml:space="preserve">Error</t>
  </si>
  <si>
    <t xml:space="preserve">(System)</t>
  </si>
  <si>
    <t xml:space="preserve">(Reading)</t>
  </si>
  <si>
    <t xml:space="preserve">(Gamma)</t>
  </si>
  <si>
    <t xml:space="preserve">Confirmation</t>
  </si>
  <si>
    <t xml:space="preserve">SAA001</t>
  </si>
  <si>
    <t xml:space="preserve">SST</t>
  </si>
  <si>
    <t xml:space="preserve">SAA002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</si>
</sst>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[$$-409]#,##0.00;[RED]\-[$$-409]#,##0.00"/>
    <numFmt numFmtId="166" formatCode="M/D/YYYY\ H:MM"/>
    <numFmt numFmtId="167" formatCode="YYYY\-MM\-DD\ HH:MM"/>
    <numFmt numFmtId="168" formatCode="0.00"/>
    <numFmt numFmtId="169" formatCode="0.000000"/>
    <numFmt numFmtId="170" formatCode="0.0"/>
    <numFmt numFmtId="171" formatCode="0.000"/>
    <numFmt numFmtId="172" formatCode="0.0000"/>
    <numFmt numFmtId="173" formatCode="0.00%"/>
  </numFmts>
  <fonts count="1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b val="true"/>
      <i val="true"/>
      <sz val="16"/>
      <name val="Arial"/>
      <family val="2"/>
    </font>
    <font>
      <sz val="28"/>
      <name val="Arial"/>
      <family val="2"/>
    </font>
    <font>
      <sz val="20"/>
      <name val="Arial"/>
      <family val="2"/>
    </font>
    <font>
      <sz val="18"/>
      <name val="Arial"/>
      <family val="2"/>
    </font>
    <font>
      <b val="true"/>
      <sz val="12"/>
      <name val="Arial"/>
      <family val="2"/>
    </font>
    <font>
      <b val="true"/>
      <sz val="16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 val="true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rgb="FF66FFFF"/>
        <bgColor rgb="FF33CC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5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1" fillId="5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1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5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5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11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1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5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1" fillId="5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1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1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1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9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9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" xfId="20" builtinId="53" customBuiltin="true"/>
    <cellStyle name="Result2" xfId="21" builtinId="53" customBuiltin="true"/>
    <cellStyle name="Heading" xfId="22" builtinId="53" customBuiltin="true"/>
    <cellStyle name="Heading1" xfId="23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0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6" activeCellId="0" sqref="A6"/>
    </sheetView>
  </sheetViews>
  <sheetFormatPr defaultRowHeight="12.8" zeroHeight="false" outlineLevelRow="0" outlineLevelCol="0"/>
  <cols>
    <col collapsed="false" customWidth="true" hidden="false" outlineLevel="0" max="1" min="1" style="1" width="11.07"/>
    <col collapsed="false" customWidth="true" hidden="false" outlineLevel="0" max="4" min="2" style="1" width="19.17"/>
    <col collapsed="false" customWidth="true" hidden="false" outlineLevel="0" max="5" min="5" style="1" width="7.56"/>
    <col collapsed="false" customWidth="true" hidden="false" outlineLevel="0" max="8" min="6" style="1" width="8.78"/>
    <col collapsed="false" customWidth="false" hidden="true" outlineLevel="0" max="12" min="9" style="1" width="11.52"/>
    <col collapsed="false" customWidth="true" hidden="false" outlineLevel="0" max="13" min="13" style="1" width="10.8"/>
    <col collapsed="false" customWidth="true" hidden="false" outlineLevel="0" max="15" min="14" style="1" width="8.78"/>
    <col collapsed="false" customWidth="true" hidden="false" outlineLevel="0" max="17" min="16" style="1" width="7.56"/>
    <col collapsed="false" customWidth="true" hidden="false" outlineLevel="0" max="18" min="18" style="1" width="9.99"/>
    <col collapsed="false" customWidth="true" hidden="false" outlineLevel="0" max="19" min="19" style="1" width="11.07"/>
    <col collapsed="false" customWidth="true" hidden="false" outlineLevel="0" max="20" min="20" style="1" width="13.23"/>
    <col collapsed="false" customWidth="true" hidden="false" outlineLevel="0" max="22" min="21" style="1" width="6.48"/>
    <col collapsed="false" customWidth="true" hidden="false" outlineLevel="0" max="23" min="23" style="1" width="11.34"/>
    <col collapsed="false" customWidth="false" hidden="true" outlineLevel="0" max="34" min="24" style="1" width="11.52"/>
    <col collapsed="false" customWidth="true" hidden="false" outlineLevel="0" max="35" min="35" style="1" width="15.39"/>
    <col collapsed="false" customWidth="true" hidden="false" outlineLevel="0" max="37" min="36" style="1" width="11.34"/>
    <col collapsed="false" customWidth="true" hidden="true" outlineLevel="0" max="41" min="38" style="1" width="11.34"/>
    <col collapsed="false" customWidth="true" hidden="false" outlineLevel="0" max="1025" min="42" style="1" width="11.34"/>
  </cols>
  <sheetData>
    <row r="1" s="3" customFormat="true" ht="34.7" hidden="false" customHeight="true" outlineLevel="0" collapsed="false">
      <c r="A1" s="2" t="s">
        <v>0</v>
      </c>
      <c r="Y1" s="2"/>
    </row>
    <row r="2" customFormat="false" ht="24.45" hidden="false" customHeight="false" outlineLevel="0" collapsed="false">
      <c r="A2" s="4" t="s">
        <v>1</v>
      </c>
      <c r="B2" s="5" t="s">
        <v>2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7"/>
    </row>
    <row r="3" customFormat="false" ht="27.75" hidden="false" customHeight="true" outlineLevel="0" collapsed="false">
      <c r="A3" s="8" t="s">
        <v>3</v>
      </c>
      <c r="D3" s="3"/>
      <c r="E3" s="9" t="s">
        <v>4</v>
      </c>
      <c r="F3" s="9"/>
      <c r="G3" s="10" t="s">
        <v>5</v>
      </c>
      <c r="M3" s="9" t="s">
        <v>6</v>
      </c>
      <c r="N3" s="9"/>
      <c r="O3" s="10" t="s">
        <v>7</v>
      </c>
    </row>
    <row r="4" customFormat="false" ht="12.8" hidden="false" customHeight="false" outlineLevel="0" collapsed="false">
      <c r="A4" s="11" t="s">
        <v>8</v>
      </c>
      <c r="B4" s="11" t="s">
        <v>9</v>
      </c>
      <c r="C4" s="11" t="s">
        <v>10</v>
      </c>
      <c r="D4" s="11" t="s">
        <v>11</v>
      </c>
      <c r="E4" s="11" t="s">
        <v>12</v>
      </c>
      <c r="F4" s="11"/>
      <c r="G4" s="11" t="s">
        <v>13</v>
      </c>
      <c r="H4" s="11" t="s">
        <v>14</v>
      </c>
      <c r="I4" s="12" t="s">
        <v>15</v>
      </c>
      <c r="J4" s="12"/>
      <c r="K4" s="12"/>
      <c r="L4" s="12"/>
      <c r="M4" s="11" t="s">
        <v>16</v>
      </c>
      <c r="N4" s="11" t="s">
        <v>16</v>
      </c>
      <c r="O4" s="12" t="s">
        <v>17</v>
      </c>
      <c r="P4" s="12"/>
      <c r="Q4" s="11" t="s">
        <v>18</v>
      </c>
      <c r="R4" s="13" t="str">
        <f aca="false">IF($G$3="US","Volume (L)","Volume (m³)")</f>
        <v>Volume (L)</v>
      </c>
      <c r="S4" s="13"/>
      <c r="T4" s="12" t="s">
        <v>19</v>
      </c>
      <c r="U4" s="11" t="s">
        <v>20</v>
      </c>
      <c r="V4" s="11"/>
      <c r="W4" s="11" t="s">
        <v>21</v>
      </c>
      <c r="X4" s="11" t="s">
        <v>22</v>
      </c>
      <c r="Y4" s="11"/>
      <c r="Z4" s="11"/>
      <c r="AA4" s="13" t="s">
        <v>23</v>
      </c>
      <c r="AB4" s="13" t="s">
        <v>24</v>
      </c>
      <c r="AC4" s="13" t="s">
        <v>25</v>
      </c>
      <c r="AD4" s="13" t="s">
        <v>26</v>
      </c>
      <c r="AE4" s="13" t="s">
        <v>27</v>
      </c>
      <c r="AF4" s="13" t="s">
        <v>28</v>
      </c>
      <c r="AG4" s="14" t="s">
        <v>29</v>
      </c>
      <c r="AH4" s="14" t="s">
        <v>30</v>
      </c>
      <c r="AI4" s="11" t="s">
        <v>31</v>
      </c>
      <c r="AJ4" s="11" t="s">
        <v>32</v>
      </c>
      <c r="AK4" s="11" t="s">
        <v>33</v>
      </c>
      <c r="AL4" s="11" t="s">
        <v>34</v>
      </c>
      <c r="AM4" s="11" t="s">
        <v>35</v>
      </c>
      <c r="AN4" s="11" t="s">
        <v>36</v>
      </c>
      <c r="AO4" s="11" t="s">
        <v>37</v>
      </c>
      <c r="AP4" s="15"/>
    </row>
    <row r="5" customFormat="false" ht="12.8" hidden="false" customHeight="false" outlineLevel="0" collapsed="false">
      <c r="A5" s="16" t="s">
        <v>38</v>
      </c>
      <c r="B5" s="16" t="s">
        <v>39</v>
      </c>
      <c r="C5" s="16" t="s">
        <v>39</v>
      </c>
      <c r="D5" s="16" t="s">
        <v>39</v>
      </c>
      <c r="E5" s="17" t="s">
        <v>40</v>
      </c>
      <c r="F5" s="18" t="s">
        <v>41</v>
      </c>
      <c r="G5" s="16" t="s">
        <v>42</v>
      </c>
      <c r="H5" s="16" t="s">
        <v>42</v>
      </c>
      <c r="I5" s="19" t="s">
        <v>43</v>
      </c>
      <c r="J5" s="19" t="s">
        <v>44</v>
      </c>
      <c r="K5" s="19" t="s">
        <v>45</v>
      </c>
      <c r="L5" s="18" t="s">
        <v>46</v>
      </c>
      <c r="M5" s="16" t="s">
        <v>30</v>
      </c>
      <c r="N5" s="16" t="s">
        <v>47</v>
      </c>
      <c r="O5" s="17" t="str">
        <f aca="false">IF($G$3="US","Feet","Meters")</f>
        <v>Feet</v>
      </c>
      <c r="P5" s="18" t="s">
        <v>30</v>
      </c>
      <c r="Q5" s="16" t="str">
        <f aca="false">IF($G$3="US","µR/h","nGy/hr")</f>
        <v>µR/h</v>
      </c>
      <c r="R5" s="19" t="s">
        <v>48</v>
      </c>
      <c r="S5" s="19" t="s">
        <v>49</v>
      </c>
      <c r="T5" s="17" t="s">
        <v>50</v>
      </c>
      <c r="U5" s="17" t="str">
        <f aca="false">IF($G$3="US","°F","°C")</f>
        <v>°F</v>
      </c>
      <c r="V5" s="18" t="str">
        <f aca="false">IF($G$3="US","°C","°F")</f>
        <v>°C</v>
      </c>
      <c r="W5" s="16" t="s">
        <v>51</v>
      </c>
      <c r="X5" s="17" t="str">
        <f aca="false">IF($G$3="US","pCi/L","Bq/m³")</f>
        <v>pCi/L</v>
      </c>
      <c r="Y5" s="16" t="s">
        <v>52</v>
      </c>
      <c r="Z5" s="16" t="s">
        <v>53</v>
      </c>
      <c r="AA5" s="19" t="s">
        <v>54</v>
      </c>
      <c r="AB5" s="19" t="s">
        <v>55</v>
      </c>
      <c r="AC5" s="19" t="s">
        <v>56</v>
      </c>
      <c r="AD5" s="19" t="s">
        <v>57</v>
      </c>
      <c r="AE5" s="19" t="s">
        <v>58</v>
      </c>
      <c r="AF5" s="19" t="s">
        <v>59</v>
      </c>
      <c r="AG5" s="18" t="s">
        <v>60</v>
      </c>
      <c r="AH5" s="18" t="s">
        <v>61</v>
      </c>
      <c r="AI5" s="16" t="str">
        <f aca="false">IF($G$3="US","pCi/L","Bq/m³")</f>
        <v>pCi/L</v>
      </c>
      <c r="AJ5" s="16" t="str">
        <f aca="false">IF($G$3="US","pCi/L","Bq/m³")</f>
        <v>pCi/L</v>
      </c>
      <c r="AK5" s="16" t="s">
        <v>62</v>
      </c>
      <c r="AL5" s="16" t="s">
        <v>63</v>
      </c>
      <c r="AM5" s="16" t="s">
        <v>64</v>
      </c>
      <c r="AN5" s="16" t="s">
        <v>65</v>
      </c>
      <c r="AO5" s="16" t="s">
        <v>66</v>
      </c>
      <c r="AP5" s="15"/>
    </row>
    <row r="6" s="38" customFormat="true" ht="18.2" hidden="false" customHeight="true" outlineLevel="0" collapsed="false">
      <c r="A6" s="20" t="s">
        <v>67</v>
      </c>
      <c r="B6" s="21" t="n">
        <v>42760.4166666667</v>
      </c>
      <c r="C6" s="21" t="n">
        <v>42760.5833333333</v>
      </c>
      <c r="D6" s="21" t="n">
        <v>42762.5833333333</v>
      </c>
      <c r="E6" s="22" t="n">
        <f aca="false">C6-B6</f>
        <v>0.166666666635138</v>
      </c>
      <c r="F6" s="22" t="n">
        <f aca="false">D6-C6</f>
        <v>2</v>
      </c>
      <c r="G6" s="23" t="n">
        <v>700</v>
      </c>
      <c r="H6" s="24" t="n">
        <v>680</v>
      </c>
      <c r="I6" s="25" t="n">
        <f aca="false">IF(N6="SST",0.314473,0.031243)</f>
        <v>0.314473</v>
      </c>
      <c r="J6" s="25" t="n">
        <f aca="false">IF(N6="SST",0.260619,0.031243)</f>
        <v>0.260619</v>
      </c>
      <c r="K6" s="26" t="n">
        <v>0.087</v>
      </c>
      <c r="L6" s="26" t="n">
        <f aca="false">IF($G$3="US",0.21,0.00021)</f>
        <v>0.21</v>
      </c>
      <c r="M6" s="26" t="n">
        <f aca="false">I6+J6*LN((H6+G6)/2)</f>
        <v>2.01805902747265</v>
      </c>
      <c r="N6" s="27" t="s">
        <v>68</v>
      </c>
      <c r="O6" s="24" t="n">
        <v>300</v>
      </c>
      <c r="P6" s="28" t="n">
        <f aca="false">IF(G3="US",IF(O6&lt;=4000,1,IF(O6&gt;4000,0.79+(6*O6/100000))),IF(O6&lt;=1219.51,1,IF(O6&gt;1219.51,0.79+(6*(O6*3.28)/100000))))</f>
        <v>1</v>
      </c>
      <c r="Q6" s="29" t="n">
        <v>10</v>
      </c>
      <c r="R6" s="30" t="n">
        <v>4.044</v>
      </c>
      <c r="S6" s="30" t="n">
        <v>0.068</v>
      </c>
      <c r="T6" s="31" t="n">
        <f aca="false">R6-S6-L6</f>
        <v>3.766</v>
      </c>
      <c r="U6" s="24" t="n">
        <v>65</v>
      </c>
      <c r="V6" s="32" t="n">
        <f aca="false">IF($G$3="US",(U6-32)*5/9,(U6*9/5+32))</f>
        <v>18.3333333333333</v>
      </c>
      <c r="W6" s="33" t="n">
        <f aca="false">IF($G$3="US",(0.52842332-0.108844754)*EXP(-0.051255005*V6)+0.108844754,(0.52842332-0.108844754)*EXP(-0.051255005*U6)+0.108844754)</f>
        <v>0.27279708182408</v>
      </c>
      <c r="X6" s="34" t="n">
        <f aca="false">IF($G$3="US",((G6-H6-0.066667*(F6))/(F6*M6)-(K6*Q6))*P6,((G6-H6-0.066667*(F6))/(F6*M6)-(K6/8.696*Q6))*P6*37)</f>
        <v>4.05222123573867</v>
      </c>
      <c r="Y6" s="35" t="n">
        <v>0.1814</v>
      </c>
      <c r="Z6" s="35" t="n">
        <f aca="false">F6*Y6</f>
        <v>0.3628</v>
      </c>
      <c r="AA6" s="35" t="n">
        <f aca="false">X6*Z6</f>
        <v>1.47014586432599</v>
      </c>
      <c r="AB6" s="35" t="n">
        <f aca="false">IF($G$3="US",(T6/S6)+W6,((T6*1000)/(S6*1000))+W6)</f>
        <v>55.6551500230005</v>
      </c>
      <c r="AC6" s="35" t="n">
        <f aca="false">AA6*AB6</f>
        <v>81.8211886347567</v>
      </c>
      <c r="AD6" s="35" t="n">
        <f aca="false">EXP(-Y6*E6)</f>
        <v>0.970219122678525</v>
      </c>
      <c r="AE6" s="35" t="n">
        <f aca="false">(1-EXP(-Z6))</f>
        <v>0.304274435301549</v>
      </c>
      <c r="AF6" s="35" t="n">
        <f aca="false">AD6*AE6</f>
        <v>0.295212875671772</v>
      </c>
      <c r="AG6" s="35" t="n">
        <f aca="false">AC6/AF6</f>
        <v>277.159959397328</v>
      </c>
      <c r="AH6" s="35" t="n">
        <f aca="false">AG6*1.15</f>
        <v>318.733953306927</v>
      </c>
      <c r="AI6" s="34" t="n">
        <f aca="false">IF($O$3="Yes",AH6,AG6)</f>
        <v>318.733953306927</v>
      </c>
      <c r="AJ6" s="34" t="n">
        <f aca="false">IF(AI6&gt;0,(SQRT(SUMSQ((5),(100*1.4/(G6-H6)),IF(Q6&gt;0,(100*0.1/Q6),10)))/100)*AI6,"")</f>
        <v>27.6031700612442</v>
      </c>
      <c r="AK6" s="36" t="n">
        <f aca="false">IF(AI6&gt;0,AJ6/AI6,"")</f>
        <v>0.0866025403784439</v>
      </c>
      <c r="AL6" s="36" t="n">
        <v>0.05</v>
      </c>
      <c r="AM6" s="36" t="n">
        <f aca="false">(100*1.4)/(G6-H6)/100</f>
        <v>0.07</v>
      </c>
      <c r="AN6" s="36" t="n">
        <f aca="false">IF(Q6&gt;0,0.1/Q6,0.1)</f>
        <v>0.01</v>
      </c>
      <c r="AO6" s="36" t="n">
        <f aca="false">SQRT(AL6*AL6+AM6*AM6+AN6*AN6)</f>
        <v>0.0866025403784439</v>
      </c>
      <c r="AP6" s="37"/>
    </row>
    <row r="7" s="38" customFormat="true" ht="18.2" hidden="false" customHeight="true" outlineLevel="0" collapsed="false">
      <c r="A7" s="20" t="s">
        <v>69</v>
      </c>
      <c r="B7" s="21" t="n">
        <v>42760.4166666667</v>
      </c>
      <c r="C7" s="21" t="n">
        <v>42760.5833333333</v>
      </c>
      <c r="D7" s="21" t="n">
        <v>42762.5833333333</v>
      </c>
      <c r="E7" s="22" t="n">
        <f aca="false">C7-B7</f>
        <v>0.166666666635138</v>
      </c>
      <c r="F7" s="22" t="n">
        <f aca="false">D7-C7</f>
        <v>2</v>
      </c>
      <c r="G7" s="23" t="n">
        <v>705</v>
      </c>
      <c r="H7" s="24" t="n">
        <v>684</v>
      </c>
      <c r="I7" s="25" t="n">
        <f aca="false">IF(N7="SST",0.314473,0.031243)</f>
        <v>0.314473</v>
      </c>
      <c r="J7" s="25" t="n">
        <f aca="false">IF(N7="SST",0.260619,0.031243)</f>
        <v>0.260619</v>
      </c>
      <c r="K7" s="26" t="n">
        <v>0.087</v>
      </c>
      <c r="L7" s="26" t="n">
        <f aca="false">IF($G$3="US",0.21,0.00021)</f>
        <v>0.21</v>
      </c>
      <c r="M7" s="26" t="n">
        <f aca="false">I7+J7*LN((H7+G7)/2)</f>
        <v>2.01975319811894</v>
      </c>
      <c r="N7" s="27" t="s">
        <v>68</v>
      </c>
      <c r="O7" s="24" t="n">
        <v>300</v>
      </c>
      <c r="P7" s="28" t="n">
        <f aca="false">IF(G4="US",IF(O7&lt;=4000,1,IF(O7&gt;4000,0.79+(6*O7/100000))),IF(O7&lt;=1219.51,1,IF(O7&gt;1219.51,0.79+(6*(O7*3.28)/100000))))</f>
        <v>1</v>
      </c>
      <c r="Q7" s="29" t="n">
        <v>10</v>
      </c>
      <c r="R7" s="30" t="n">
        <v>4.044</v>
      </c>
      <c r="S7" s="30" t="n">
        <v>0.068</v>
      </c>
      <c r="T7" s="31" t="n">
        <f aca="false">R7-S7-L7</f>
        <v>3.766</v>
      </c>
      <c r="U7" s="24" t="n">
        <v>65</v>
      </c>
      <c r="V7" s="32" t="n">
        <f aca="false">IF($G$3="US",(U7-32)*5/9,(U7*9/5+32))</f>
        <v>18.3333333333333</v>
      </c>
      <c r="W7" s="33" t="n">
        <f aca="false">IF($G$3="US",(0.52842332-0.108844754)*EXP(-0.051255005*V7)+0.108844754,(0.52842332-0.108844754)*EXP(-0.051255005*U7)+0.108844754)</f>
        <v>0.27279708182408</v>
      </c>
      <c r="X7" s="34" t="n">
        <f aca="false">IF($G$3="US",((G7-H7-0.066667*(F7))/(F7*M7)-(K7*Q7))*P7,((G7-H7-0.066667*(F7))/(F7*M7)-(K7/8.696*Q7))*P7*37)</f>
        <v>4.29564747104591</v>
      </c>
      <c r="Y7" s="35" t="n">
        <v>0.1814</v>
      </c>
      <c r="Z7" s="35" t="n">
        <f aca="false">F7*Y7</f>
        <v>0.3628</v>
      </c>
      <c r="AA7" s="35" t="n">
        <f aca="false">X7*Z7</f>
        <v>1.55846090249546</v>
      </c>
      <c r="AB7" s="35" t="n">
        <f aca="false">IF($G$3="US",(T7/S7)+W7,((T7*1000)/(S7*1000))+W7)</f>
        <v>55.6551500230005</v>
      </c>
      <c r="AC7" s="35" t="n">
        <f aca="false">AA7*AB7</f>
        <v>86.7363753333655</v>
      </c>
      <c r="AD7" s="35" t="n">
        <f aca="false">EXP(-Y7*E7)</f>
        <v>0.970219122678525</v>
      </c>
      <c r="AE7" s="35" t="n">
        <f aca="false">(1-EXP(-Z7))</f>
        <v>0.304274435301549</v>
      </c>
      <c r="AF7" s="35" t="n">
        <f aca="false">AD7*AE7</f>
        <v>0.295212875671772</v>
      </c>
      <c r="AG7" s="35" t="n">
        <f aca="false">AC7/AF7</f>
        <v>293.809594639097</v>
      </c>
      <c r="AH7" s="35" t="n">
        <f aca="false">AG7*1.15</f>
        <v>337.881033834962</v>
      </c>
      <c r="AI7" s="34" t="n">
        <f aca="false">IF($O$3="Yes",AH7,AG7)</f>
        <v>337.881033834962</v>
      </c>
      <c r="AJ7" s="34" t="n">
        <f aca="false">IF(AI7&gt;0,(SQRT(SUMSQ((5),(100*1.4/(G7-H7)),IF(Q7&gt;0,(100*0.1/Q7),10)))/100)*AI7,"")</f>
        <v>28.358756824753</v>
      </c>
      <c r="AK7" s="36" t="n">
        <f aca="false">IF(AI7&gt;0,AJ7/AI7,"")</f>
        <v>0.0839311887467612</v>
      </c>
      <c r="AL7" s="36" t="n">
        <v>0.05</v>
      </c>
      <c r="AM7" s="36" t="n">
        <f aca="false">(100*1.4)/(G7-H7)/100</f>
        <v>0.0666666666666667</v>
      </c>
      <c r="AN7" s="36" t="n">
        <f aca="false">IF(Q7&gt;0,0.1/Q7,0.1)</f>
        <v>0.01</v>
      </c>
      <c r="AO7" s="36" t="n">
        <f aca="false">SQRT(AL7*AL7+AM7*AM7+AN7*AN7)</f>
        <v>0.0839311887467611</v>
      </c>
      <c r="AP7" s="37"/>
    </row>
    <row r="9" customFormat="false" ht="12.8" hidden="false" customHeight="false" outlineLevel="0" collapsed="false">
      <c r="A9" s="39" t="str">
        <f aca="false">IF($G$3="US","Standardized Rad Elec Analysis Jar is 4.044 L.","Standardized Rad Elec Analysis Jar is 0.004044 m³.")</f>
        <v>Standardized Rad Elec Analysis Jar is 4.044 L.</v>
      </c>
    </row>
    <row r="10" customFormat="false" ht="12.8" hidden="false" customHeight="false" outlineLevel="0" collapsed="false">
      <c r="A10" s="39" t="str">
        <f aca="false">IF($G$3="US","Standardized Rad Elec Water Sample Jars are either 68 mL (0.068 L) or 136 mL (0.136 L).","Standardized Rad Elec Water Sample Bottles are 0.000068 m³ or 0.000136 m³.")</f>
        <v>Standardized Rad Elec Water Sample Jars are either 68 mL (0.068 L) or 136 mL (0.136 L).</v>
      </c>
    </row>
  </sheetData>
  <sheetProtection sheet="true" password="9ea1" objects="true" scenarios="true" selectLockedCells="true"/>
  <mergeCells count="7">
    <mergeCell ref="E3:F3"/>
    <mergeCell ref="M3:N3"/>
    <mergeCell ref="E4:F4"/>
    <mergeCell ref="I4:L4"/>
    <mergeCell ref="O4:P4"/>
    <mergeCell ref="R4:S4"/>
    <mergeCell ref="U4:V4"/>
  </mergeCells>
  <dataValidations count="6">
    <dataValidation allowBlank="false" error="You must select either US or SI as your measurement units." errorTitle="Measurement Units" operator="equal" prompt="Please remember to double-check your values (Elevation, Gamma, Volumes, and Sample Temperatures) when converting between US and SI units." promptTitle="US/SI Units" showDropDown="false" showErrorMessage="true" showInputMessage="true" sqref="G3" type="list">
      <formula1>"US,SI"</formula1>
      <formula2>0</formula2>
    </dataValidation>
    <dataValidation allowBlank="true" operator="equal" promptTitle="Use 115% CF?" showDropDown="false" showErrorMessage="true" showInputMessage="true" sqref="M3" type="none">
      <formula1>0</formula1>
      <formula2>0</formula2>
    </dataValidation>
    <dataValidation allowBlank="false" error="You must select either YES or NO, depending on whether or not you wish to employ the CF that will multiply your final results by 1.15." errorTitle="Employ 1.15 CF?" operator="equal" prompt="Standardized procedures were found to be about 15% lower when compared to the liquid scintillation method employed by the US EPA. As such, Rad Elec multiplies its final radon-in-water results by 115%. Do you wish to do this?" promptTitle="Use 115% CF?" showDropDown="false" showErrorMessage="true" showInputMessage="true" sqref="O3" type="list">
      <formula1>"Yes,No"</formula1>
      <formula2>0</formula2>
    </dataValidation>
    <dataValidation allowBlank="true" operator="equal" prompt="This is the Greek letter, gamma. Enter your background in the blue background cells below." promptTitle="Gamma" showDropDown="false" showErrorMessage="true" showInputMessage="true" sqref="Q4" type="none">
      <formula1>0</formula1>
      <formula2>0</formula2>
    </dataValidation>
    <dataValidation allowBlank="false" error="You must enter a valid electret ion chamber configuration, either SST or SLT." errorTitle="EIC Config" operator="equal" showDropDown="false" showErrorMessage="true" showInputMessage="false" sqref="N6:N7" type="list">
      <formula1>"SST,SLT"</formula1>
      <formula2>0</formula2>
    </dataValidation>
    <dataValidation allowBlank="true" operator="equal" showDropDown="false" showErrorMessage="true" showInputMessage="false" sqref="S6" type="none">
      <formula1>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LibreOffice/6.0.6.2$Windows_X86_64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2017-05-23T21:08:49Z</dcterms:created>
  <dc:creator>Lorin</dc:creator>
  <dc:description/>
  <dc:language>en-US</dc:language>
  <cp:lastModifiedBy/>
  <dcterms:modified xsi:type="dcterms:W3CDTF">2019-06-10T14:13:30Z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