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don-Thor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<sst xmlns="http://schemas.openxmlformats.org/spreadsheetml/2006/main" count="61" uniqueCount="53">
  <si>
    <t xml:space="preserve">Radon-Thoron Calculation Template</t>
  </si>
  <si>
    <t xml:space="preserve">V1.0 (5 Jun 2023)</t>
  </si>
  <si>
    <t xml:space="preserve">US/SI Units</t>
  </si>
  <si>
    <t xml:space="preserve">US</t>
  </si>
  <si>
    <t xml:space="preserve">Electret</t>
  </si>
  <si>
    <t xml:space="preserve">Start</t>
  </si>
  <si>
    <t xml:space="preserve">End</t>
  </si>
  <si>
    <t xml:space="preserve">Total Days</t>
  </si>
  <si>
    <t xml:space="preserve">Initial</t>
  </si>
  <si>
    <t xml:space="preserve">Final</t>
  </si>
  <si>
    <t xml:space="preserve">EIC Configuration Constants</t>
  </si>
  <si>
    <t xml:space="preserve">EIC</t>
  </si>
  <si>
    <t xml:space="preserve">Detector</t>
  </si>
  <si>
    <t xml:space="preserve">Elevation</t>
  </si>
  <si>
    <t xml:space="preserve">γ</t>
  </si>
  <si>
    <t xml:space="preserve">Concentration</t>
  </si>
  <si>
    <t xml:space="preserve">±</t>
  </si>
  <si>
    <t xml:space="preserve">Error %</t>
  </si>
  <si>
    <t xml:space="preserve">Error 1</t>
  </si>
  <si>
    <t xml:space="preserve">Error 2</t>
  </si>
  <si>
    <t xml:space="preserve">Error 3</t>
  </si>
  <si>
    <t xml:space="preserve">Total Error</t>
  </si>
  <si>
    <t xml:space="preserve">Serial Number</t>
  </si>
  <si>
    <t xml:space="preserve">Date</t>
  </si>
  <si>
    <t xml:space="preserve">Time</t>
  </si>
  <si>
    <t xml:space="preserve">Exposure</t>
  </si>
  <si>
    <t xml:space="preserve">Voltage</t>
  </si>
  <si>
    <t xml:space="preserve">A</t>
  </si>
  <si>
    <t xml:space="preserve">B</t>
  </si>
  <si>
    <t xml:space="preserve">G</t>
  </si>
  <si>
    <t xml:space="preserve">CF</t>
  </si>
  <si>
    <t xml:space="preserve">Type</t>
  </si>
  <si>
    <t xml:space="preserve">Config</t>
  </si>
  <si>
    <t xml:space="preserve">(System)</t>
  </si>
  <si>
    <t xml:space="preserve">(Reading)</t>
  </si>
  <si>
    <t xml:space="preserve">(Gamma)</t>
  </si>
  <si>
    <t xml:space="preserve">Confirmation</t>
  </si>
  <si>
    <t xml:space="preserve">Valid Data?</t>
  </si>
  <si>
    <t xml:space="preserve">IVD</t>
  </si>
  <si>
    <t xml:space="preserve">SAA001</t>
  </si>
  <si>
    <t xml:space="preserve">Radon</t>
  </si>
  <si>
    <t xml:space="preserve">SST</t>
  </si>
  <si>
    <t xml:space="preserve">+RnC?</t>
  </si>
  <si>
    <t xml:space="preserve">SAA002</t>
  </si>
  <si>
    <t xml:space="preserve">Radon+Thoron</t>
  </si>
  <si>
    <t xml:space="preserve">+RnTnC?</t>
  </si>
  <si>
    <t xml:space="preserve">Net Thoron Concentration:</t>
  </si>
  <si>
    <t xml:space="preserve">Instructions:</t>
  </si>
  <si>
    <t xml:space="preserve">Net Radon Concentration:</t>
  </si>
  <si>
    <t xml:space="preserve">1) If necessary, select either US or SI measurement units from the dropdown box by clicking on the blue cell to the right of “US/SI Units”.</t>
  </si>
  <si>
    <t xml:space="preserve">2) Enter in the required data indicated by the blue cells (such as dates, times, voltages, etc.)</t>
  </si>
  <si>
    <t xml:space="preserve">3) Select the E-PERM configuration from the dropdown box.</t>
  </si>
  <si>
    <t xml:space="preserve">4) Double-check your elevation and background gamma, especially if switching measurement units between US and SI.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</si>
</sst>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[$$-409]#,##0.00;[RED]\-[$$-409]#,##0.00"/>
    <numFmt numFmtId="166" formatCode="&quot;TRUE&quot;;&quot;TRUE&quot;;&quot;FALSE&quot;"/>
    <numFmt numFmtId="167" formatCode="mm/dd/yyyy\ hh:mm"/>
    <numFmt numFmtId="168" formatCode="dd\-mmm\-yyyy"/>
    <numFmt numFmtId="169" formatCode="hh:mm"/>
    <numFmt numFmtId="170" formatCode="0.00"/>
    <numFmt numFmtId="171" formatCode="0.000000"/>
    <numFmt numFmtId="172" formatCode="0.000"/>
    <numFmt numFmtId="173" formatCode="0.0000"/>
    <numFmt numFmtId="174" formatCode="0.0"/>
    <numFmt numFmtId="175" formatCode="\±0.0"/>
    <numFmt numFmtId="176" formatCode="0.00%"/>
    <numFmt numFmtId="177" formatCode="General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28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b val="true"/>
      <sz val="12"/>
      <color rgb="FF8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 val="true"/>
      <sz val="14"/>
      <name val="Arial"/>
      <family val="2"/>
    </font>
    <font>
      <b val="true"/>
      <sz val="10"/>
      <name val="Arial"/>
      <family val="2"/>
    </font>
    <font>
      <b val="true"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66FFFF"/>
        <bgColor rgb="FF33CC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  <border diagonalUp="false" diagonalDown="false">
      <left/>
      <right/>
      <top/>
      <bottom style="thin">
        <color rgb="FF333333"/>
      </bottom>
      <diagonal/>
    </border>
    <border diagonalUp="false" diagonalDown="false">
      <left/>
      <right style="thin">
        <color rgb="FF333333"/>
      </right>
      <top/>
      <bottom style="thin">
        <color rgb="FF333333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15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345600</xdr:colOff>
      <xdr:row>0</xdr:row>
      <xdr:rowOff>65520</xdr:rowOff>
    </xdr:from>
    <xdr:to>
      <xdr:col>0</xdr:col>
      <xdr:colOff>1069560</xdr:colOff>
      <xdr:row>2</xdr:row>
      <xdr:rowOff>340560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45600" y="65520"/>
          <a:ext cx="723960" cy="901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2" min="1" style="1" width="19.44"/>
    <col collapsed="false" customWidth="true" hidden="false" outlineLevel="0" max="3" min="3" style="1" width="10.62"/>
    <col collapsed="false" customWidth="true" hidden="false" outlineLevel="0" max="4" min="4" style="1" width="19.44"/>
    <col collapsed="false" customWidth="true" hidden="false" outlineLevel="0" max="5" min="5" style="1" width="10.62"/>
    <col collapsed="false" customWidth="true" hidden="false" outlineLevel="0" max="6" min="6" style="1" width="13.29"/>
    <col collapsed="false" customWidth="true" hidden="false" outlineLevel="0" max="8" min="7" style="1" width="9.06"/>
    <col collapsed="false" customWidth="true" hidden="true" outlineLevel="0" max="11" min="9" style="1" width="11.05"/>
    <col collapsed="false" customWidth="true" hidden="false" outlineLevel="0" max="12" min="12" style="1" width="12.69"/>
    <col collapsed="false" customWidth="true" hidden="false" outlineLevel="0" max="13" min="13" style="1" width="19.3"/>
    <col collapsed="false" customWidth="true" hidden="false" outlineLevel="0" max="14" min="14" style="1" width="11.06"/>
    <col collapsed="false" customWidth="true" hidden="false" outlineLevel="0" max="15" min="15" style="1" width="9.06"/>
    <col collapsed="false" customWidth="true" hidden="false" outlineLevel="0" max="16" min="16" style="1" width="13.89"/>
    <col collapsed="false" customWidth="true" hidden="false" outlineLevel="0" max="17" min="17" style="1" width="7.76"/>
    <col collapsed="false" customWidth="true" hidden="false" outlineLevel="0" max="18" min="18" style="1" width="13.12"/>
    <col collapsed="false" customWidth="false" hidden="false" outlineLevel="0" max="20" min="19" style="1" width="11.52"/>
    <col collapsed="false" customWidth="false" hidden="true" outlineLevel="0" max="24" min="21" style="1" width="11.52"/>
    <col collapsed="false" customWidth="false" hidden="false" outlineLevel="0" max="26" min="25" style="1" width="11.52"/>
    <col collapsed="false" customWidth="false" hidden="true" outlineLevel="0" max="28" min="27" style="1" width="11.52"/>
    <col collapsed="false" customWidth="true" hidden="true" outlineLevel="0" max="29" min="29" style="2" width="12.58"/>
    <col collapsed="false" customWidth="false" hidden="true" outlineLevel="0" max="32" min="30" style="1" width="11.52"/>
    <col collapsed="false" customWidth="true" hidden="true" outlineLevel="0" max="33" min="33" style="1" width="16.54"/>
    <col collapsed="false" customWidth="false" hidden="true" outlineLevel="0" max="52" min="34" style="1" width="11.52"/>
    <col collapsed="false" customWidth="false" hidden="false" outlineLevel="0" max="67" min="53" style="1" width="11.52"/>
    <col collapsed="false" customWidth="false" hidden="false" outlineLevel="0" max="1023" min="68" style="2" width="11.52"/>
  </cols>
  <sheetData>
    <row r="1" customFormat="false" ht="34.7" hidden="false" customHeight="true" outlineLevel="0" collapsed="false">
      <c r="A1" s="3"/>
      <c r="B1" s="4" t="s">
        <v>0</v>
      </c>
      <c r="C1" s="4"/>
      <c r="G1" s="5"/>
      <c r="H1" s="3"/>
      <c r="I1" s="3"/>
      <c r="J1" s="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customFormat="false" ht="14.65" hidden="false" customHeight="true" outlineLevel="0" collapsed="false">
      <c r="B2" s="7" t="s">
        <v>1</v>
      </c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customFormat="false" ht="27.7" hidden="false" customHeight="true" outlineLevel="0" collapsed="false">
      <c r="A3" s="8"/>
      <c r="F3" s="9" t="s">
        <v>2</v>
      </c>
      <c r="G3" s="10" t="s">
        <v>3</v>
      </c>
      <c r="H3" s="11"/>
      <c r="I3" s="12"/>
      <c r="J3" s="12"/>
      <c r="K3" s="12"/>
      <c r="L3" s="13"/>
      <c r="M3" s="13"/>
      <c r="N3" s="12"/>
      <c r="O3" s="12"/>
      <c r="P3" s="12"/>
      <c r="Q3" s="12"/>
      <c r="R3" s="12"/>
      <c r="S3" s="12"/>
      <c r="T3" s="12"/>
      <c r="U3" s="6"/>
      <c r="V3" s="6"/>
      <c r="W3" s="6"/>
      <c r="X3" s="6"/>
      <c r="Y3" s="6"/>
      <c r="Z3" s="6"/>
      <c r="AA3" s="6"/>
      <c r="AB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customFormat="false" ht="14.65" hidden="false" customHeight="true" outlineLevel="0" collapsed="false">
      <c r="A4" s="14" t="s">
        <v>4</v>
      </c>
      <c r="B4" s="14" t="s">
        <v>5</v>
      </c>
      <c r="C4" s="14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/>
      <c r="K4" s="14"/>
      <c r="L4" s="14" t="s">
        <v>11</v>
      </c>
      <c r="M4" s="14" t="s">
        <v>12</v>
      </c>
      <c r="N4" s="14" t="s">
        <v>11</v>
      </c>
      <c r="O4" s="14" t="s">
        <v>13</v>
      </c>
      <c r="P4" s="14"/>
      <c r="Q4" s="14" t="s">
        <v>14</v>
      </c>
      <c r="R4" s="14" t="s">
        <v>15</v>
      </c>
      <c r="S4" s="14" t="s">
        <v>16</v>
      </c>
      <c r="T4" s="15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7"/>
      <c r="Z4" s="6"/>
      <c r="AA4" s="6"/>
      <c r="AB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customFormat="false" ht="14.65" hidden="false" customHeight="true" outlineLevel="0" collapsed="false">
      <c r="A5" s="18" t="s">
        <v>22</v>
      </c>
      <c r="B5" s="18" t="s">
        <v>23</v>
      </c>
      <c r="C5" s="18" t="s">
        <v>24</v>
      </c>
      <c r="D5" s="18" t="s">
        <v>23</v>
      </c>
      <c r="E5" s="18" t="s">
        <v>24</v>
      </c>
      <c r="F5" s="18" t="s">
        <v>25</v>
      </c>
      <c r="G5" s="18" t="s">
        <v>26</v>
      </c>
      <c r="H5" s="18" t="s">
        <v>26</v>
      </c>
      <c r="I5" s="19" t="s">
        <v>27</v>
      </c>
      <c r="J5" s="20" t="s">
        <v>28</v>
      </c>
      <c r="K5" s="21" t="s">
        <v>29</v>
      </c>
      <c r="L5" s="18" t="s">
        <v>30</v>
      </c>
      <c r="M5" s="18" t="s">
        <v>31</v>
      </c>
      <c r="N5" s="18" t="s">
        <v>32</v>
      </c>
      <c r="O5" s="19" t="str">
        <f aca="false">IF($G$3="US","Feet","Meters")</f>
        <v>Feet</v>
      </c>
      <c r="P5" s="21" t="s">
        <v>30</v>
      </c>
      <c r="Q5" s="18" t="str">
        <f aca="false">IF($G$3="US","µR/h","nGy/hr")</f>
        <v>µR/h</v>
      </c>
      <c r="R5" s="18" t="str">
        <f aca="false">IF($G$3="US","(pCi/L)","(Bq/m³)")</f>
        <v>(pCi/L)</v>
      </c>
      <c r="S5" s="18" t="str">
        <f aca="false">IF($G$3="US","pCi/L","Bq/m³")</f>
        <v>pCi/L</v>
      </c>
      <c r="T5" s="15"/>
      <c r="U5" s="22" t="s">
        <v>33</v>
      </c>
      <c r="V5" s="22" t="s">
        <v>34</v>
      </c>
      <c r="W5" s="22" t="s">
        <v>35</v>
      </c>
      <c r="X5" s="22" t="s">
        <v>36</v>
      </c>
      <c r="Y5" s="17"/>
      <c r="Z5" s="6"/>
      <c r="AA5" s="6"/>
      <c r="AB5" s="6"/>
      <c r="AD5" s="6" t="s">
        <v>37</v>
      </c>
      <c r="AE5" s="12"/>
      <c r="AF5" s="12"/>
      <c r="AG5" s="6" t="s">
        <v>38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customFormat="false" ht="18.1" hidden="false" customHeight="true" outlineLevel="0" collapsed="false">
      <c r="A6" s="23" t="s">
        <v>39</v>
      </c>
      <c r="B6" s="24" t="n">
        <v>44986</v>
      </c>
      <c r="C6" s="25" t="n">
        <v>0.604166666666667</v>
      </c>
      <c r="D6" s="24" t="n">
        <v>44988</v>
      </c>
      <c r="E6" s="25" t="n">
        <v>0.628472222222222</v>
      </c>
      <c r="F6" s="26" t="n">
        <f aca="false">(D6+E6)-(B6+C6)</f>
        <v>2.02430555555556</v>
      </c>
      <c r="G6" s="27" t="n">
        <v>700</v>
      </c>
      <c r="H6" s="28" t="n">
        <v>589</v>
      </c>
      <c r="I6" s="29" t="n">
        <f aca="false">IF(N6="SST",0.314473,IF(N6="SLT",0.031243,IF(N6="LST",0.124228,IF(N6="LLT",0.010189,IF(N6="LST-OO",0.074671,IF(N6="LLT-OO",0.011965,IF(N6="LMT-OO",0.013497,IF(N6="HST",7.2954,IF(N6="HLT",0.60795)))))))))</f>
        <v>0.314473</v>
      </c>
      <c r="J6" s="29" t="n">
        <f aca="false">IF(N6="SST",0.260619,IF(N6="SLT",0.02188,IF(N6="LST",0.040676,IF(N6="LLT",0.003372,IF(N6="LST-OO",0.037557,IF(N6="LLT-OO",0.002079,IF(N6="LMT-OO",0.012499,IF(N6="HST",0.004293,IF(N6="HLT",0.0003578)))))))))</f>
        <v>0.260619</v>
      </c>
      <c r="K6" s="30" t="n">
        <f aca="false">IF(N6="SST",0.087,IF(N6="SLT",0.087,IF(N6="LST",0.12,IF(N6="LLT",0.12,IF(N6="LST-OO",0.12,IF(N6="LLT-OO",0.12,IF(N6="LMT-OO",0.12,IF(N6="HST",0.07,IF(N6="HLT",0.07)))))))))</f>
        <v>0.087</v>
      </c>
      <c r="L6" s="31" t="n">
        <f aca="false">IF(N6="HST",I6+J6*((H6+G6)/2),IF(N6="HLT",I6+J6*((H6+G6)/2),I6+J6*LN((H6+G6)/2)))</f>
        <v>2.00028043973366</v>
      </c>
      <c r="M6" s="32" t="s">
        <v>40</v>
      </c>
      <c r="N6" s="28" t="s">
        <v>41</v>
      </c>
      <c r="O6" s="28" t="n">
        <v>300</v>
      </c>
      <c r="P6" s="26" t="n">
        <f aca="false">IF($G$3="US",IF(LEFT(N6,1)="S",IF(O6&lt;=4000,1,IF(O6&gt;4000,0.79+(6*O6/100000))),IF(LEFT(N6,1)="L",IF(O6&lt;=200,1,IF(O6&gt;200,1.005+(4.5526*O6/100000))),IF(LEFT(N6,1)="H",1))),IF($G$3="SI",IF(LEFT(N6,1)="S",IF(O6&lt;=1219.51,1,IF(O6&gt;1219.51,0.79+(6*(O6*3.28)/100000))),IF(LEFT(N6,1)="L",IF(O6&lt;=60.98,1,IF(O6&gt;60.98,1.005+(4.5526*(O6*3.28)/100000))),IF(LEFT(N6,1)="H",1)))))</f>
        <v>1</v>
      </c>
      <c r="Q6" s="33" t="n">
        <v>10</v>
      </c>
      <c r="R6" s="34" t="n">
        <f aca="false">IF($AF$6&lt;0,0,IF($AD$6=0,"Review",IF($G$3="US",ROUND((($G$6-$H$6-($AG$6*$F$6))/($F$6*$L$6)-($K$6*$Q$6))*$P$6,1),ROUND((($G$6-$H$6-($AG$6*$F$6))/($F$6*$L$6)-($K$6/8.696*$Q$6))*$P$6*37,1))))</f>
        <v>26.5</v>
      </c>
      <c r="S6" s="35" t="n">
        <f aca="false">IF(R6="Review","",IF(R6=0,"",(SQRT(SUMSQ((5),(100*1.4/(G6-H6)),(100*IF($G$3="US",0.1,0.1*37)/R6)))/100)*R6))</f>
        <v>1.37015967074431</v>
      </c>
      <c r="T6" s="36" t="n">
        <f aca="false">IF(R6="Review","",IF(R6=0,"",S6/R6))</f>
        <v>0.0517041385186531</v>
      </c>
      <c r="U6" s="37" t="n">
        <v>0.05</v>
      </c>
      <c r="V6" s="37" t="n">
        <f aca="false">(100*1.4)/(G6-H6)/100</f>
        <v>0.0126126126126126</v>
      </c>
      <c r="W6" s="37" t="n">
        <f aca="false">IF(F6&gt;0,IF($G$3="US",0.1/R6,(0.1*37)/R6),0.1)</f>
        <v>0.00377358490566038</v>
      </c>
      <c r="X6" s="37" t="n">
        <f aca="false">SQRT(U6*U6+V6*V6+W6*W6)</f>
        <v>0.0517041385186531</v>
      </c>
      <c r="Y6" s="38"/>
      <c r="Z6" s="39"/>
      <c r="AA6" s="39"/>
      <c r="AB6" s="39"/>
      <c r="AD6" s="40" t="n">
        <f aca="false">AND(NOT(ISBLANK(B6)),NOT(ISBLANK(D6)),NOT(ISBLANK(G6)),NOT(ISBLANK(H6)),NOT(ISBLANK(O6)),NOT(ISBLANK(Q6)),Q6&gt;=0,O6&gt;=0,G6&gt;=0,H6&gt;=0,F6&gt;0)</f>
        <v>1</v>
      </c>
      <c r="AE6" s="41" t="s">
        <v>42</v>
      </c>
      <c r="AF6" s="42" t="n">
        <f aca="false">IF($AD$6=0,"Review",IF($G$3="US",(($G$6-$H$6-($AG$6*$F$6))/($F$6*$L$6)-($K$6*$Q$6))*$P$6,(($G$6-$H$6-($AG$6*$F$6))/($F$6*$L$6)-($K$6/8.696*$Q$6))*$P$6*37))</f>
        <v>26.5096369364438</v>
      </c>
      <c r="AG6" s="43" t="n">
        <f aca="false">IF(OR(N6="SST",N6="LST",N6="LST-OO",N6="HST",N6="LMT-OO"),0.066667,0.022223)</f>
        <v>0.066667</v>
      </c>
      <c r="AH6" s="38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</row>
    <row r="7" customFormat="false" ht="18.1" hidden="false" customHeight="true" outlineLevel="0" collapsed="false">
      <c r="A7" s="23" t="s">
        <v>43</v>
      </c>
      <c r="B7" s="24" t="n">
        <v>44986</v>
      </c>
      <c r="C7" s="25" t="n">
        <v>0.604166666666667</v>
      </c>
      <c r="D7" s="24" t="n">
        <v>44988</v>
      </c>
      <c r="E7" s="25" t="n">
        <v>0.628472222222222</v>
      </c>
      <c r="F7" s="26" t="n">
        <f aca="false">(D7+E7)-(B7+C7)</f>
        <v>2.02430555555556</v>
      </c>
      <c r="G7" s="27" t="n">
        <v>703</v>
      </c>
      <c r="H7" s="28" t="n">
        <v>544</v>
      </c>
      <c r="I7" s="29" t="n">
        <f aca="false">IF(N7="SST",0.314473,IF(N7="SLT",0.031243,IF(N7="LST",0.124228,IF(N7="LLT",0.010189,IF(N7="LST-OO",0.074671,IF(N7="LLT-OO",0.011965,IF(N7="LMT-OO",0.013497,IF(N7="HST",7.2954,IF(N7="HLT",0.60795)))))))))</f>
        <v>0.314473</v>
      </c>
      <c r="J7" s="29" t="n">
        <f aca="false">IF(N7="SST",0.260619,IF(N7="SLT",0.02188,IF(N7="LST",0.040676,IF(N7="LLT",0.003372,IF(N7="LST-OO",0.037557,IF(N7="LLT-OO",0.002079,IF(N7="LMT-OO",0.012499,IF(N7="HST",0.004293,IF(N7="HLT",0.0003578)))))))))</f>
        <v>0.260619</v>
      </c>
      <c r="K7" s="30" t="n">
        <f aca="false">IF(N7="SST",0.087,IF(N7="SLT",0.087,IF(N7="LST",0.12,IF(N7="LLT",0.12,IF(N7="LST-OO",0.12,IF(N7="LLT-OO",0.12,IF(N7="LMT-OO",0.12,IF(N7="HST",0.07,IF(N7="HLT",0.07)))))))))</f>
        <v>0.087</v>
      </c>
      <c r="L7" s="31" t="n">
        <f aca="false">IF(N7="HST",I7+J7*((H7+G7)/2),IF(N7="HLT",I7+J7*((H7+G7)/2),I7+J7*LN((H7+G7)/2)))</f>
        <v>1.99164715981683</v>
      </c>
      <c r="M7" s="32" t="s">
        <v>44</v>
      </c>
      <c r="N7" s="28" t="s">
        <v>41</v>
      </c>
      <c r="O7" s="28" t="n">
        <v>300</v>
      </c>
      <c r="P7" s="26" t="n">
        <f aca="false">IF($G$3="US",IF(LEFT(N7,1)="S",IF(O7&lt;=4000,1,IF(O7&gt;4000,0.79+(6*O7/100000))),IF(LEFT(N7,1)="L",IF(O7&lt;=200,1,IF(O7&gt;200,1.005+(4.5526*O7/100000))),IF(LEFT(N7,1)="H",1))),IF($G$3="SI",IF(LEFT(N7,1)="S",IF(O7&lt;=1219.51,1,IF(O7&gt;1219.51,0.79+(6*(O7*3.28)/100000))),IF(LEFT(N7,1)="L",IF(O7&lt;=60.98,1,IF(O7&gt;60.98,1.005+(4.5526*(O7*3.28)/100000))),IF(LEFT(N7,1)="H",1)))))</f>
        <v>1</v>
      </c>
      <c r="Q7" s="33" t="n">
        <v>10</v>
      </c>
      <c r="R7" s="34" t="n">
        <f aca="false">IF($AF$7&lt;0,0,IF($AD$7=0,"Review",IF($G$3="US",ROUND((($G$7-$H$7-($AG$7*$F$7))/($F$7*$L$7)-($K$7*$Q$7))*$P$7,1),ROUND((($G$7-$H$7-($AG$7*$F$7))/($F$7*$L$7)-($K$7/8.696*$Q$7))*$P$7*37,1))))</f>
        <v>38.5</v>
      </c>
      <c r="S7" s="35" t="n">
        <f aca="false">IF(R7="Review","",IF(R7=0,"",(SQRT(SUMSQ((5),(100*1.4/(G7-H7)),(100*IF($G$3="US",0.1,0.1*37)/R7)))/100)*R7))</f>
        <v>1.95717698123818</v>
      </c>
      <c r="T7" s="36" t="n">
        <f aca="false">IF(R7="Review","",IF(R7=0,"",S7/R7))</f>
        <v>0.0508357657464464</v>
      </c>
      <c r="U7" s="37" t="n">
        <v>0.05</v>
      </c>
      <c r="V7" s="37" t="n">
        <f aca="false">(100*1.4)/(G7-H7)/100</f>
        <v>0.00880503144654088</v>
      </c>
      <c r="W7" s="37" t="n">
        <f aca="false">IF(F7&gt;0,IF($G$3="US",0.1/R7,(0.1*37)/R7),0.1)</f>
        <v>0.0025974025974026</v>
      </c>
      <c r="X7" s="37" t="n">
        <f aca="false">SQRT(U7*U7+V7*V7+W7*W7)</f>
        <v>0.0508357657464464</v>
      </c>
      <c r="Y7" s="38"/>
      <c r="Z7" s="39"/>
      <c r="AA7" s="39"/>
      <c r="AB7" s="39"/>
      <c r="AD7" s="40" t="n">
        <f aca="false">AND(NOT(ISBLANK(B7)),NOT(ISBLANK(D7)),NOT(ISBLANK(G7)),NOT(ISBLANK(H7)),NOT(ISBLANK(O7)),NOT(ISBLANK(Q7)),Q7&gt;=0,O7&gt;=0,G7&gt;=0,H7&gt;=0,F7&gt;0)</f>
        <v>1</v>
      </c>
      <c r="AE7" s="41" t="s">
        <v>45</v>
      </c>
      <c r="AF7" s="42" t="n">
        <f aca="false">IF($AD$7=0,"Review",IF($G$3="US",(($G$7-$H$7-($AG$7*$F$7))/($F$7*$L$7)-($K$7*$Q$7))*$P$7,(($G$7-$H$7-($AG$7*$F$7))/($F$7*$L$7)-($K$7/8.696*$Q$7))*$P$7*37))</f>
        <v>38.533961268256</v>
      </c>
      <c r="AG7" s="43" t="n">
        <f aca="false">IF(OR(N7="SST",N7="LST",N7="LST-OO",N7="HST",N7="LMT-OO"),0.066667,0.022223)</f>
        <v>0.066667</v>
      </c>
      <c r="AH7" s="38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</row>
    <row r="8" customFormat="false" ht="20.55" hidden="false" customHeight="true" outlineLevel="0" collapsed="false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46" t="s">
        <v>46</v>
      </c>
      <c r="P8" s="46"/>
      <c r="Q8" s="46"/>
      <c r="R8" s="47" t="n">
        <f aca="false">IF(AD8=1,IF(ROUND(R7-R6,1)&lt;0,0,ROUND(R7-R6,1)),"N/A")</f>
        <v>12</v>
      </c>
      <c r="S8" s="48"/>
      <c r="T8" s="44"/>
      <c r="U8" s="44"/>
      <c r="V8" s="44"/>
      <c r="W8" s="44"/>
      <c r="X8" s="44"/>
      <c r="AD8" s="40" t="n">
        <f aca="false">AND(AD6,AD7)</f>
        <v>1</v>
      </c>
      <c r="AE8" s="48"/>
      <c r="AF8" s="44"/>
      <c r="AG8" s="44"/>
    </row>
    <row r="9" customFormat="false" ht="20.55" hidden="false" customHeight="true" outlineLevel="0" collapsed="false">
      <c r="A9" s="49" t="s">
        <v>47</v>
      </c>
      <c r="N9" s="50"/>
      <c r="O9" s="46" t="s">
        <v>48</v>
      </c>
      <c r="P9" s="46"/>
      <c r="Q9" s="46"/>
      <c r="R9" s="47" t="n">
        <f aca="false">IF(AD8=1,IF(R7&lt;R6,R6,IF(ROUND(R6-(R7*0.03),1)&lt;0,0,ROUND(R6-(R7*0.03),1))),"N/A")</f>
        <v>25.3</v>
      </c>
      <c r="S9" s="51"/>
      <c r="AD9" s="44"/>
    </row>
    <row r="10" customFormat="false" ht="14.65" hidden="false" customHeight="true" outlineLevel="0" collapsed="false">
      <c r="A10" s="52" t="s">
        <v>49</v>
      </c>
      <c r="O10" s="45"/>
      <c r="P10" s="53"/>
      <c r="Q10" s="53"/>
      <c r="R10" s="48"/>
    </row>
    <row r="11" customFormat="false" ht="14.65" hidden="false" customHeight="true" outlineLevel="0" collapsed="false">
      <c r="A11" s="52" t="s">
        <v>50</v>
      </c>
    </row>
    <row r="12" customFormat="false" ht="14.65" hidden="false" customHeight="true" outlineLevel="0" collapsed="false">
      <c r="A12" s="52" t="s">
        <v>51</v>
      </c>
    </row>
    <row r="13" customFormat="false" ht="14.65" hidden="false" customHeight="true" outlineLevel="0" collapsed="false">
      <c r="A13" s="52" t="s">
        <v>52</v>
      </c>
    </row>
    <row r="15" customFormat="false" ht="17" hidden="false" customHeight="true" outlineLevel="0" collapsed="false">
      <c r="A15" s="54" t="str">
        <f aca="false">IF($N$6="HST","Logarithmic CFs are not ready for HST and HLT chambers. These configurations still utilize the old linear CF, so maintain electret voltages above 200.",IF($N$7="HST","Logarithmic CFs are not ready for HST and HLT chambers. These configurations still utilize the old linear CF, so maintain electret voltages above 200.",IF($N$6="HLT","Logarithmic CFs are not ready for HST and HLT chambers. These configurations still utilize the old linear CF, so maintain electret voltages above 200.",IF($N$7="HLT","Logarithmic CFs are not ready for HST and HLT chambers. These configurations still utilize the old linear CF, so maintain electret voltages above 200.",""))))</f>
        <v/>
      </c>
    </row>
  </sheetData>
  <sheetProtection sheet="true" password="9ea1" objects="true" scenarios="true" selectLockedCells="true"/>
  <mergeCells count="5">
    <mergeCell ref="I4:K4"/>
    <mergeCell ref="O4:P4"/>
    <mergeCell ref="T4:T5"/>
    <mergeCell ref="O8:Q8"/>
    <mergeCell ref="O9:Q9"/>
  </mergeCells>
  <dataValidations count="4"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G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Q4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N6" type="list">
      <formula1>"SST,SLT,LST,LLT,LST-OO,LMT-OO,LLT-OO,HST,HLT"</formula1>
      <formula2>0</formula2>
    </dataValidation>
    <dataValidation allowBlank="false" error="You must enter a valid Radon-Thoron electret ion chamber configuration from the list." errorStyle="stop" errorTitle="EIC Config" operator="equal" showDropDown="false" showErrorMessage="true" showInputMessage="false" sqref="N7" type="list">
      <formula1>"SST,SLT"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2017-01-11T14:25:37Z</dcterms:created>
  <dc:creator>Payasada Kotrappa</dc:creator>
  <dc:description/>
  <dc:language>en-US</dc:language>
  <cp:lastModifiedBy/>
  <cp:lastPrinted>2017-01-31T11:01:40Z</cp:lastPrinted>
  <dcterms:modified xsi:type="dcterms:W3CDTF">2023-06-05T22:18:58Z</dcterms:modified>
  <cp:revision>62</cp:revision>
  <dc:subject/>
  <dc:title/>
</cp:coreProperties>
</file>