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adium Template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<sst xmlns="http://schemas.openxmlformats.org/spreadsheetml/2006/main" count="75" uniqueCount="67">
  <si>
    <t xml:space="preserve">Radium-in-Soil Calculation Template</t>
  </si>
  <si>
    <t xml:space="preserve">v1.2 (26 July 2024)</t>
  </si>
  <si>
    <t xml:space="preserve">US/SI Units</t>
  </si>
  <si>
    <t xml:space="preserve">US</t>
  </si>
  <si>
    <t xml:space="preserve">Electret</t>
  </si>
  <si>
    <t xml:space="preserve">Start</t>
  </si>
  <si>
    <t xml:space="preserve">End</t>
  </si>
  <si>
    <t xml:space="preserve">Total Days</t>
  </si>
  <si>
    <t xml:space="preserve">Initial</t>
  </si>
  <si>
    <t xml:space="preserve">Final</t>
  </si>
  <si>
    <t xml:space="preserve">EIC Configuration Constants</t>
  </si>
  <si>
    <t xml:space="preserve">EIC</t>
  </si>
  <si>
    <t xml:space="preserve">Elevation</t>
  </si>
  <si>
    <t xml:space="preserve">γ</t>
  </si>
  <si>
    <t xml:space="preserve">Radon in Air</t>
  </si>
  <si>
    <t xml:space="preserve">±</t>
  </si>
  <si>
    <t xml:space="preserve">Error %</t>
  </si>
  <si>
    <t xml:space="preserve">Radioactivity Content</t>
  </si>
  <si>
    <t xml:space="preserve">Radium Content</t>
  </si>
  <si>
    <t xml:space="preserve">Serial Number</t>
  </si>
  <si>
    <t xml:space="preserve">Date/Time</t>
  </si>
  <si>
    <t xml:space="preserve">Exposure</t>
  </si>
  <si>
    <t xml:space="preserve">Voltage</t>
  </si>
  <si>
    <t xml:space="preserve">A</t>
  </si>
  <si>
    <t xml:space="preserve">B</t>
  </si>
  <si>
    <t xml:space="preserve">G</t>
  </si>
  <si>
    <t xml:space="preserve">CF</t>
  </si>
  <si>
    <t xml:space="preserve">Config</t>
  </si>
  <si>
    <t xml:space="preserve">Bq/m3</t>
  </si>
  <si>
    <t xml:space="preserve">(Bq)</t>
  </si>
  <si>
    <t xml:space="preserve">(Bq/g)</t>
  </si>
  <si>
    <t xml:space="preserve">SAA001</t>
  </si>
  <si>
    <t xml:space="preserve">SST</t>
  </si>
  <si>
    <t xml:space="preserve">ValidData?</t>
  </si>
  <si>
    <t xml:space="preserve">+RnC?</t>
  </si>
  <si>
    <t xml:space="preserve">SAA002</t>
  </si>
  <si>
    <t xml:space="preserve">Average:</t>
  </si>
  <si>
    <t xml:space="preserve">ValidAvg?</t>
  </si>
  <si>
    <t xml:space="preserve">Jar Volume</t>
  </si>
  <si>
    <t xml:space="preserve">Radon Emanation</t>
  </si>
  <si>
    <t xml:space="preserve">Soil Sample Weight</t>
  </si>
  <si>
    <t xml:space="preserve">RPD:</t>
  </si>
  <si>
    <r>
      <rPr>
        <i val="true"/>
        <sz val="10"/>
        <rFont val="Arial"/>
        <family val="2"/>
      </rPr>
      <t xml:space="preserve">(m</t>
    </r>
    <r>
      <rPr>
        <sz val="10"/>
        <rFont val="Calibri"/>
        <family val="2"/>
      </rPr>
      <t xml:space="preserve">³</t>
    </r>
    <r>
      <rPr>
        <i val="true"/>
        <sz val="10"/>
        <rFont val="Arial"/>
        <family val="2"/>
      </rPr>
      <t xml:space="preserve">)</t>
    </r>
  </si>
  <si>
    <t xml:space="preserve">(f)</t>
  </si>
  <si>
    <t xml:space="preserve">(grams)</t>
  </si>
  <si>
    <t xml:space="preserve">Instructions:</t>
  </si>
  <si>
    <t xml:space="preserve">1) If necessary, select either US or SI measurement units from the dropdown box by clicking on the blue cell to the right of “US/SI Units”.</t>
  </si>
  <si>
    <t xml:space="preserve">2) Enter in the required data indicated by the blue cells (such as dates, times, voltages, etc.)</t>
  </si>
  <si>
    <t xml:space="preserve">3) Select the E-PERM configuration from the dropdown box.</t>
  </si>
  <si>
    <t xml:space="preserve">4) Double-check your elevation and background gamma, especially if switching measurement units between US and SI.</t>
  </si>
  <si>
    <t xml:space="preserve">Characterizing Radium Content in Soil &amp; Aggregate</t>
  </si>
  <si>
    <t xml:space="preserve">1) Collect the soil sample (usually between 10 and 30 grams). Dry it and ground it to a fine powder. Weigh the dry sample and record it.</t>
  </si>
  <si>
    <r>
      <rPr>
        <b val="true"/>
        <sz val="10"/>
        <rFont val="Arial"/>
        <family val="2"/>
      </rPr>
      <t xml:space="preserve">2) Introduce water to "wet" the sample by approximately 20%. This is directly proportional to the emanation factor </t>
    </r>
    <r>
      <rPr>
        <b val="true"/>
        <i val="true"/>
        <sz val="10"/>
        <rFont val="Arial"/>
        <family val="2"/>
      </rPr>
      <t xml:space="preserve">(f)</t>
    </r>
    <r>
      <rPr>
        <b val="true"/>
        <sz val="10"/>
        <rFont val="Arial"/>
        <family val="2"/>
      </rPr>
      <t xml:space="preserve">, which will have an approximate value between 0.2 and 0.25.</t>
    </r>
  </si>
  <si>
    <t xml:space="preserve">3) Prepare an electret ion chamber (preferably an SST), and prepare it for an exposure.</t>
  </si>
  <si>
    <t xml:space="preserve">4) Place the soil sample in the bottom of the accumulator jar.</t>
  </si>
  <si>
    <t xml:space="preserve">5) Immediately place the prepared SST into the accumulator jar, and seal it tightly.</t>
  </si>
  <si>
    <t xml:space="preserve">6) Expose for the desired period, and then analyze your results.</t>
  </si>
  <si>
    <t xml:space="preserve">Approximate Jar Volume Determination</t>
  </si>
  <si>
    <t xml:space="preserve">Radon-in-Water Jar from Rad Elec = ~4.0 L</t>
  </si>
  <si>
    <t xml:space="preserve">Soil Sample mass will displace air volume at a rate of 1ml per gram.</t>
  </si>
  <si>
    <t xml:space="preserve">EIC will also displace air volume. An SST occupies approximately 210 ml.</t>
  </si>
  <si>
    <t xml:space="preserve">Therefore, using a radon-in-water accumulator jar from Rad Elec, and assuming a sample size of 30g and a single SST inside the jar:</t>
  </si>
  <si>
    <t xml:space="preserve">4.0L jar volume - 0.03L soil sample - .21L SST = 3.76L</t>
  </si>
  <si>
    <t xml:space="preserve">Convert L to m³ using the table below, and record volume in the spreadsheet above.</t>
  </si>
  <si>
    <r>
      <rPr>
        <b val="true"/>
        <sz val="10"/>
        <rFont val="Arial"/>
        <family val="2"/>
      </rPr>
      <t xml:space="preserve">Convert L to m</t>
    </r>
    <r>
      <rPr>
        <b val="true"/>
        <sz val="10"/>
        <rFont val="Calibri"/>
        <family val="2"/>
      </rPr>
      <t xml:space="preserve">³</t>
    </r>
  </si>
  <si>
    <t xml:space="preserve">L</t>
  </si>
  <si>
    <r>
      <rPr>
        <i val="true"/>
        <sz val="10"/>
        <rFont val="Arial"/>
        <family val="2"/>
      </rPr>
      <t xml:space="preserve">m</t>
    </r>
    <r>
      <rPr>
        <sz val="10"/>
        <rFont val="Calibri"/>
        <family val="2"/>
      </rPr>
      <t xml:space="preserve">³</t>
    </r>
  </si>
</sst>
</file>

<file path=xl/styles.xml><?xml version="1.0" encoding="utf-8"?>
<styleSheet xmlns="http://schemas.openxmlformats.org/spreadsheetml/2006/main">
  <numFmts count="15">
    <numFmt numFmtId="164" formatCode="General"/>
    <numFmt numFmtId="165" formatCode="&quot;TRUE&quot;;&quot;TRUE&quot;;&quot;FALSE&quot;"/>
    <numFmt numFmtId="166" formatCode="m/d/yyyy\ h:mm"/>
    <numFmt numFmtId="167" formatCode="yyyy\-mm\-dd\ hh:mm"/>
    <numFmt numFmtId="168" formatCode="0.00"/>
    <numFmt numFmtId="169" formatCode="0.000000"/>
    <numFmt numFmtId="170" formatCode="0.000"/>
    <numFmt numFmtId="171" formatCode="0.0000"/>
    <numFmt numFmtId="172" formatCode="0.0"/>
    <numFmt numFmtId="173" formatCode="\±0.0"/>
    <numFmt numFmtId="174" formatCode="0%"/>
    <numFmt numFmtId="175" formatCode="0.00000"/>
    <numFmt numFmtId="176" formatCode="General"/>
    <numFmt numFmtId="177" formatCode="0.0%"/>
    <numFmt numFmtId="178" formatCode="0.00%"/>
  </numFmts>
  <fonts count="2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8"/>
      <name val="Arial"/>
      <family val="2"/>
    </font>
    <font>
      <sz val="14"/>
      <name val="Arial"/>
      <family val="2"/>
    </font>
    <font>
      <b val="true"/>
      <sz val="12"/>
      <name val="Arial"/>
      <family val="2"/>
    </font>
    <font>
      <b val="true"/>
      <sz val="16"/>
      <name val="Arial"/>
      <family val="2"/>
    </font>
    <font>
      <b val="true"/>
      <sz val="12"/>
      <color rgb="FF800000"/>
      <name val="Arial"/>
      <family val="2"/>
    </font>
    <font>
      <i val="true"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rgb="FF000000"/>
      <name val="Arial"/>
      <family val="2"/>
    </font>
    <font>
      <b val="true"/>
      <sz val="14"/>
      <name val="Arial"/>
      <family val="2"/>
    </font>
    <font>
      <b val="true"/>
      <sz val="10"/>
      <name val="Arial"/>
      <family val="2"/>
    </font>
    <font>
      <b val="true"/>
      <sz val="15"/>
      <name val="Arial"/>
      <family val="2"/>
    </font>
    <font>
      <b val="true"/>
      <sz val="8"/>
      <name val="Arial"/>
      <family val="2"/>
    </font>
    <font>
      <sz val="10"/>
      <name val="Calibri"/>
      <family val="2"/>
    </font>
    <font>
      <b val="true"/>
      <i val="true"/>
      <sz val="10"/>
      <name val="Arial"/>
      <family val="2"/>
    </font>
    <font>
      <b val="true"/>
      <u val="single"/>
      <sz val="10"/>
      <name val="Arial"/>
      <family val="2"/>
    </font>
    <font>
      <b val="true"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66FFFF"/>
        <bgColor rgb="FF33CC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/>
      <diagonal/>
    </border>
    <border diagonalUp="false" diagonalDown="false"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 diagonalUp="false" diagonalDown="false">
      <left style="thin">
        <color rgb="FF333333"/>
      </left>
      <right/>
      <top/>
      <bottom style="thin">
        <color rgb="FF333333"/>
      </bottom>
      <diagonal/>
    </border>
    <border diagonalUp="false" diagonalDown="false">
      <left/>
      <right/>
      <top/>
      <bottom style="thin">
        <color rgb="FF333333"/>
      </bottom>
      <diagonal/>
    </border>
    <border diagonalUp="false" diagonalDown="false">
      <left/>
      <right style="thin">
        <color rgb="FF333333"/>
      </right>
      <top/>
      <bottom style="thin">
        <color rgb="FF333333"/>
      </bottom>
      <diagonal/>
    </border>
    <border diagonalUp="false" diagonalDown="false">
      <left/>
      <right style="thin">
        <color rgb="FFFFFFFF"/>
      </right>
      <top/>
      <bottom/>
      <diagonal/>
    </border>
    <border diagonalUp="false" diagonalDown="false">
      <left style="thin">
        <color rgb="FF333333"/>
      </left>
      <right/>
      <top style="thin">
        <color rgb="FF333333"/>
      </top>
      <bottom style="thin">
        <color rgb="FF333333"/>
      </bottom>
      <diagonal/>
    </border>
    <border diagonalUp="false" diagonalDown="false">
      <left/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/>
      <right/>
      <top style="thin">
        <color rgb="FF333333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>
        <color rgb="FF333333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>
        <color rgb="FFFFFFFF"/>
      </left>
      <right/>
      <top/>
      <bottom style="thin">
        <color rgb="FFFFFFFF"/>
      </bottom>
      <diagonal/>
    </border>
    <border diagonalUp="false" diagonalDown="false">
      <left/>
      <right/>
      <top/>
      <bottom style="thin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4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4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1" fillId="4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0" fillId="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0" fillId="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10" fillId="4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2" fontId="13" fillId="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14" fillId="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4" fontId="14" fillId="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1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5" fontId="11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6" fontId="1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13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15" fillId="3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15" fillId="2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2" borderId="1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2" fontId="15" fillId="3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5" fontId="14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4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77" fontId="14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7" fontId="14" fillId="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14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24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75" fontId="10" fillId="4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1" fillId="4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2" fontId="11" fillId="4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5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3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3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3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10" fillId="4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6FF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357480</xdr:colOff>
      <xdr:row>0</xdr:row>
      <xdr:rowOff>66600</xdr:rowOff>
    </xdr:from>
    <xdr:to>
      <xdr:col>1</xdr:col>
      <xdr:colOff>1042920</xdr:colOff>
      <xdr:row>2</xdr:row>
      <xdr:rowOff>342360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468000" y="66600"/>
          <a:ext cx="685440" cy="8758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4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7" activeCellId="0" sqref="B47"/>
    </sheetView>
  </sheetViews>
  <sheetFormatPr defaultColWidth="11.5703125" defaultRowHeight="12.75" zeroHeight="false" outlineLevelRow="0" outlineLevelCol="0"/>
  <cols>
    <col collapsed="false" customWidth="true" hidden="false" outlineLevel="0" max="1" min="1" style="1" width="1.57"/>
    <col collapsed="false" customWidth="true" hidden="false" outlineLevel="0" max="4" min="2" style="1" width="19.42"/>
    <col collapsed="false" customWidth="true" hidden="false" outlineLevel="0" max="5" min="5" style="1" width="13.29"/>
    <col collapsed="false" customWidth="true" hidden="false" outlineLevel="0" max="7" min="6" style="1" width="9"/>
    <col collapsed="false" customWidth="false" hidden="true" outlineLevel="0" max="10" min="8" style="1" width="11.53"/>
    <col collapsed="false" customWidth="true" hidden="false" outlineLevel="0" max="11" min="11" style="1" width="12.71"/>
    <col collapsed="false" customWidth="true" hidden="false" outlineLevel="0" max="12" min="12" style="1" width="11"/>
    <col collapsed="false" customWidth="true" hidden="false" outlineLevel="0" max="13" min="13" style="1" width="9"/>
    <col collapsed="false" customWidth="true" hidden="false" outlineLevel="0" max="14" min="14" style="1" width="13.86"/>
    <col collapsed="false" customWidth="true" hidden="false" outlineLevel="0" max="15" min="15" style="1" width="7.71"/>
    <col collapsed="false" customWidth="true" hidden="true" outlineLevel="0" max="17" min="16" style="1" width="13.15"/>
    <col collapsed="false" customWidth="false" hidden="true" outlineLevel="0" max="18" min="18" style="1" width="11.57"/>
    <col collapsed="false" customWidth="false" hidden="false" outlineLevel="0" max="19" min="19" style="1" width="11.57"/>
    <col collapsed="false" customWidth="true" hidden="false" outlineLevel="0" max="20" min="20" style="1" width="19.29"/>
    <col collapsed="false" customWidth="true" hidden="false" outlineLevel="0" max="21" min="21" style="1" width="19.86"/>
    <col collapsed="false" customWidth="false" hidden="false" outlineLevel="0" max="26" min="22" style="1" width="11.57"/>
    <col collapsed="false" customWidth="false" hidden="true" outlineLevel="0" max="27" min="27" style="1" width="11.57"/>
    <col collapsed="false" customWidth="true" hidden="true" outlineLevel="0" max="28" min="28" style="1" width="12.57"/>
    <col collapsed="false" customWidth="false" hidden="true" outlineLevel="0" max="31" min="29" style="1" width="11.53"/>
    <col collapsed="false" customWidth="false" hidden="true" outlineLevel="0" max="52" min="32" style="1" width="11.57"/>
    <col collapsed="false" customWidth="false" hidden="false" outlineLevel="0" max="16384" min="53" style="1" width="11.57"/>
  </cols>
  <sheetData>
    <row r="1" s="2" customFormat="true" ht="34.5" hidden="false" customHeight="true" outlineLevel="0" collapsed="false">
      <c r="B1" s="3"/>
      <c r="C1" s="4" t="s">
        <v>0</v>
      </c>
      <c r="D1" s="1"/>
      <c r="E1" s="1"/>
      <c r="F1" s="5"/>
      <c r="G1" s="3"/>
      <c r="H1" s="3"/>
      <c r="I1" s="3"/>
    </row>
    <row r="2" s="2" customFormat="true" ht="12.75" hidden="false" customHeight="false" outlineLevel="0" collapsed="false">
      <c r="B2" s="1"/>
      <c r="C2" s="6" t="s">
        <v>1</v>
      </c>
      <c r="D2" s="6"/>
    </row>
    <row r="3" s="2" customFormat="true" ht="27.75" hidden="false" customHeight="true" outlineLevel="0" collapsed="false">
      <c r="A3" s="7"/>
      <c r="B3" s="8"/>
      <c r="C3" s="1"/>
      <c r="D3" s="1"/>
      <c r="E3" s="9" t="s">
        <v>2</v>
      </c>
      <c r="F3" s="10" t="s">
        <v>3</v>
      </c>
      <c r="G3" s="11"/>
      <c r="H3" s="12"/>
      <c r="I3" s="12"/>
      <c r="J3" s="12"/>
      <c r="K3" s="13"/>
      <c r="L3" s="12"/>
      <c r="M3" s="12"/>
      <c r="N3" s="12"/>
      <c r="O3" s="12"/>
      <c r="P3" s="12"/>
      <c r="Q3" s="12"/>
      <c r="R3" s="12"/>
      <c r="S3" s="12"/>
    </row>
    <row r="4" s="2" customFormat="true" ht="12.75" hidden="false" customHeight="false" outlineLevel="0" collapsed="false">
      <c r="A4" s="14"/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5" t="s">
        <v>9</v>
      </c>
      <c r="H4" s="15" t="s">
        <v>10</v>
      </c>
      <c r="I4" s="15"/>
      <c r="J4" s="15"/>
      <c r="K4" s="15" t="s">
        <v>11</v>
      </c>
      <c r="L4" s="15" t="s">
        <v>11</v>
      </c>
      <c r="M4" s="15" t="s">
        <v>12</v>
      </c>
      <c r="N4" s="15"/>
      <c r="O4" s="15" t="s">
        <v>13</v>
      </c>
      <c r="P4" s="15" t="s">
        <v>14</v>
      </c>
      <c r="Q4" s="15" t="s">
        <v>14</v>
      </c>
      <c r="R4" s="15" t="s">
        <v>15</v>
      </c>
      <c r="S4" s="16" t="s">
        <v>16</v>
      </c>
      <c r="T4" s="15" t="s">
        <v>17</v>
      </c>
      <c r="U4" s="15" t="s">
        <v>18</v>
      </c>
      <c r="V4" s="17"/>
    </row>
    <row r="5" s="2" customFormat="true" ht="12.75" hidden="false" customHeight="false" outlineLevel="0" collapsed="false">
      <c r="A5" s="14"/>
      <c r="B5" s="18" t="s">
        <v>19</v>
      </c>
      <c r="C5" s="18" t="s">
        <v>20</v>
      </c>
      <c r="D5" s="18" t="s">
        <v>20</v>
      </c>
      <c r="E5" s="18" t="s">
        <v>21</v>
      </c>
      <c r="F5" s="18" t="s">
        <v>22</v>
      </c>
      <c r="G5" s="18" t="s">
        <v>22</v>
      </c>
      <c r="H5" s="19" t="s">
        <v>23</v>
      </c>
      <c r="I5" s="20" t="s">
        <v>24</v>
      </c>
      <c r="J5" s="21" t="s">
        <v>25</v>
      </c>
      <c r="K5" s="18" t="s">
        <v>26</v>
      </c>
      <c r="L5" s="18" t="s">
        <v>27</v>
      </c>
      <c r="M5" s="19" t="str">
        <f aca="false">IF($F$3="US","Feet","Meters")</f>
        <v>Feet</v>
      </c>
      <c r="N5" s="21" t="s">
        <v>26</v>
      </c>
      <c r="O5" s="18" t="str">
        <f aca="false">IF($F$3="US","µR/h","nGy/hr")</f>
        <v>µR/h</v>
      </c>
      <c r="P5" s="18" t="str">
        <f aca="false">IF($F$3="US","pCi/L","Bq/m³")</f>
        <v>pCi/L</v>
      </c>
      <c r="Q5" s="18" t="s">
        <v>28</v>
      </c>
      <c r="R5" s="18" t="str">
        <f aca="false">IF($F$3="US","pCi/L","Bq/m³")</f>
        <v>pCi/L</v>
      </c>
      <c r="S5" s="16"/>
      <c r="T5" s="22" t="s">
        <v>29</v>
      </c>
      <c r="U5" s="22" t="s">
        <v>30</v>
      </c>
      <c r="V5" s="23"/>
      <c r="AD5" s="12"/>
      <c r="AE5" s="12"/>
    </row>
    <row r="6" s="40" customFormat="true" ht="18" hidden="false" customHeight="true" outlineLevel="0" collapsed="false">
      <c r="A6" s="24"/>
      <c r="B6" s="25" t="s">
        <v>31</v>
      </c>
      <c r="C6" s="26" t="n">
        <v>42856.5451388889</v>
      </c>
      <c r="D6" s="26" t="n">
        <v>42866.5451388889</v>
      </c>
      <c r="E6" s="27" t="n">
        <f aca="false">D6-C6</f>
        <v>10</v>
      </c>
      <c r="F6" s="28" t="n">
        <v>697</v>
      </c>
      <c r="G6" s="29" t="n">
        <v>642</v>
      </c>
      <c r="H6" s="30" t="n">
        <f aca="false">IF(L6="SST",0.314473,IF(L6="SLT",0.031243,IF(L6="LST",0.124228,IF(L6="LLT",0.010189,IF(L6="LST-OO",0.074671,IF(L6="LLT-OO",0.011965,IF(L6="LMT-OO",0.013497,IF(L6="HST",7.2954,IF(L6="HLT",0.60795)))))))))</f>
        <v>0.314473</v>
      </c>
      <c r="I6" s="30" t="n">
        <f aca="false">IF(L6="SST",0.260619,IF(L6="SLT",0.02188,IF(L6="LST",0.040676,IF(L6="LLT",0.003372,IF(L6="LST-OO",0.037557,IF(L6="LLT-OO",0.002079,IF(L6="LMT-OO",0.012499,IF(L6="HST",0.004293,IF(L6="HLT",0.0003578)))))))))</f>
        <v>0.260619</v>
      </c>
      <c r="J6" s="31" t="n">
        <f aca="false">IF(L6="SST",0.087,IF(L6="SLT",0.087,IF(L6="LST",0.12,IF(L6="LLT",0.12,IF(L6="LST-OO",0.12,IF(L6="LLT-OO",0.12,IF(L6="LMT-OO",0.12,IF(L6="HST",0.07,IF(L6="HLT",0.07)))))))))</f>
        <v>0.087</v>
      </c>
      <c r="K6" s="32" t="n">
        <f aca="false">IF(L6="HST",H6+I6*((G6+F6)/2),IF(L6="HLT",H6+I6*((G6+F6)/2),H6+I6*LN((G6+F6)/2)))</f>
        <v>2.01019864572534</v>
      </c>
      <c r="L6" s="29" t="s">
        <v>32</v>
      </c>
      <c r="M6" s="29" t="n">
        <v>0</v>
      </c>
      <c r="N6" s="27" t="n">
        <f aca="false">IF($F$3="US",IF(LEFT(L6,1)="S",IF(M6&lt;=4000,1,IF(M6&gt;4000,0.79+(6*M6/100000))),IF(LEFT(L6,1)="L",IF(M6&lt;=200,1,IF(M6&gt;200,1.005+(4.5526*M6/100000))),IF(LEFT(L6,1)="H",1))),IF($F$3="SI",IF(LEFT(L6,1)="S",IF(M6&lt;=1219.51,1,IF(M6&gt;1219.51,0.79+(6*(M6*3.28)/100000))),IF(LEFT(L6,1)="L",IF(M6&lt;=60.98,1,IF(M6&gt;60.98,1.005+(4.5526*(M6*3.28)/100000))),IF(LEFT(L6,1)="H",1)))))</f>
        <v>1</v>
      </c>
      <c r="O6" s="33" t="n">
        <v>0</v>
      </c>
      <c r="P6" s="34" t="n">
        <f aca="false">IF(AE6&lt;0,0,IF($AC$6=0,"Review",IF($F$3="US",ROUND((($F$6-$G$6-0.066667*($E$6))/($E$6*$K$6)-($J$6*$O$6))*$N$6,1),ROUND((($F$6-$G$6-0.066667*($E$6))/($E$6*$K$6)-($J$6/8.696*$O$6))*$N$6*37,1))))</f>
        <v>2.7</v>
      </c>
      <c r="Q6" s="34" t="n">
        <f aca="false">ROUND((($F$6-$G$6-0.066667*($E$6))/($E$6*$K$6)-($J$6/8.696*$O$6))*$N$6*37,1)</f>
        <v>100</v>
      </c>
      <c r="R6" s="35" t="n">
        <f aca="false">IF(P6="Review","",IF(P6=0,"",(SQRT(SUMSQ((5),(100*1.4/(F6-G6)),(100*0.1/P6)))/100)*P6))</f>
        <v>0.181517046077025</v>
      </c>
      <c r="S6" s="36" t="n">
        <f aca="false">IF(P6="Review","",IF(P6=0,"",R6/P6))</f>
        <v>0.0672285355840834</v>
      </c>
      <c r="T6" s="37" t="n">
        <f aca="false">(Q6*$B$11)/(1-((1-EXP(-0.1812*E6))/(0.1812*E6)))/$C$11</f>
        <v>3.49273572500607</v>
      </c>
      <c r="U6" s="38" t="n">
        <f aca="false">T6/$D$11</f>
        <v>0.116424524166869</v>
      </c>
      <c r="V6" s="39"/>
      <c r="AB6" s="41" t="s">
        <v>33</v>
      </c>
      <c r="AC6" s="42" t="b">
        <f aca="false">AND(NOT(ISBLANK(C6)),NOT(ISBLANK(D6)),NOT(ISBLANK(F6)),NOT(ISBLANK(G6)),NOT(ISBLANK(M6)),NOT(ISBLANK(O6)),O6&gt;=0,M6&gt;=0,F6&gt;=0,G6&gt;=0,E6&gt;0)</f>
        <v>1</v>
      </c>
      <c r="AD6" s="41" t="s">
        <v>34</v>
      </c>
      <c r="AE6" s="43" t="n">
        <f aca="false">IF($AC$6=0,"Review",IF($F$3="US",(($F$6-$G$6-0.066667*($E$6))/($E$6*$K$6)-($J$6*$O$6))*$N$6,(($F$6-$G$6-0.066667*($E$6))/($E$6*$K$6)-($J$6/8.696*$O$6))*$N$6*37))</f>
        <v>2.70288362374232</v>
      </c>
      <c r="AF6" s="44"/>
    </row>
    <row r="7" s="40" customFormat="true" ht="18" hidden="false" customHeight="true" outlineLevel="0" collapsed="false">
      <c r="A7" s="24"/>
      <c r="B7" s="25" t="s">
        <v>35</v>
      </c>
      <c r="C7" s="26" t="n">
        <v>42856.5451388889</v>
      </c>
      <c r="D7" s="26" t="n">
        <v>42866.5451388889</v>
      </c>
      <c r="E7" s="27" t="n">
        <f aca="false">D7-C7</f>
        <v>10</v>
      </c>
      <c r="F7" s="28" t="n">
        <v>305</v>
      </c>
      <c r="G7" s="29" t="n">
        <v>255</v>
      </c>
      <c r="H7" s="30" t="n">
        <f aca="false">IF(L7="SST",0.314473,IF(L7="SLT",0.031243,IF(L7="LST",0.124228,IF(L7="LLT",0.010189,IF(L7="LST-OO",0.074671,IF(L7="LLT-OO",0.011965,IF(L7="LMT-OO",0.013497,IF(L7="HST",7.2954,IF(L7="HLT",0.60795)))))))))</f>
        <v>0.314473</v>
      </c>
      <c r="I7" s="30" t="n">
        <f aca="false">IF(L7="SST",0.260619,IF(L7="SLT",0.02188,IF(L7="LST",0.040676,IF(L7="LLT",0.003372,IF(L7="LST-OO",0.037557,IF(L7="LLT-OO",0.002079,IF(L7="LMT-OO",0.012499,IF(L7="HST",0.004293,IF(L7="HLT",0.0003578)))))))))</f>
        <v>0.260619</v>
      </c>
      <c r="J7" s="31" t="n">
        <f aca="false">IF(L7="SST",0.087,IF(L7="SLT",0.087,IF(L7="LST",0.12,IF(L7="LLT",0.12,IF(L7="LST-OO",0.12,IF(L7="LLT-OO",0.12,IF(L7="LMT-OO",0.12,IF(L7="HST",0.07,IF(L7="HLT",0.07)))))))))</f>
        <v>0.087</v>
      </c>
      <c r="K7" s="32" t="n">
        <f aca="false">IF(L7="HST",H7+I7*((G7+F7)/2),IF(L7="HLT",H7+I7*((G7+F7)/2),H7+I7*LN((G7+F7)/2)))</f>
        <v>1.78300623158837</v>
      </c>
      <c r="L7" s="29" t="s">
        <v>32</v>
      </c>
      <c r="M7" s="29" t="n">
        <v>0</v>
      </c>
      <c r="N7" s="27" t="n">
        <f aca="false">IF($F$3="US",IF(LEFT(L7,1)="S",IF(M7&lt;=4000,1,IF(M7&gt;4000,0.79+(6*M7/100000))),IF(LEFT(L7,1)="L",IF(M7&lt;=200,1,IF(M7&gt;200,1.005+(4.5526*M7/100000))),IF(LEFT(L7,1)="H",1))),IF($F$3="SI",IF(LEFT(L7,1)="S",IF(M7&lt;=1219.51,1,IF(M7&gt;1219.51,0.79+(6*(M7*3.28)/100000))),IF(LEFT(L7,1)="L",IF(M7&lt;=60.98,1,IF(M7&gt;60.98,1.005+(4.5526*(M7*3.28)/100000))),IF(LEFT(L7,1)="H",1)))))</f>
        <v>1</v>
      </c>
      <c r="O7" s="33" t="n">
        <v>0</v>
      </c>
      <c r="P7" s="34" t="n">
        <f aca="false">IF($AE$7&lt;0,0,IF($AC$7=0,"Review",IF($F$3="US",ROUND((($F$7-$G$7-0.066667*($E$7))/($E$7*$K$7)-($J$7*$O$7))*$N$7,1),ROUND((($F$7-$G$7-0.066667*($E$7))/($E$7*$K$7)-($J$7/8.696*$O$7))*$N$7*37,1))))</f>
        <v>2.8</v>
      </c>
      <c r="Q7" s="34" t="n">
        <f aca="false">ROUND((($F$7-$G$7-0.066667*($E$7))/($E$7*$K$7)-($J$7/8.696*$O$7))*$N$7*37,1)</f>
        <v>102.4</v>
      </c>
      <c r="R7" s="35" t="n">
        <f aca="false">IF(P7="Review","",IF(P7=0,"",(SQRT(SUMSQ((5),(100*1.4/(F7-G7)),(100*0.1/P7)))/100)*P7))</f>
        <v>0.189067606955819</v>
      </c>
      <c r="S7" s="36" t="n">
        <f aca="false">IF(P7="Review","",IF(P7=0,"",R7/P7))</f>
        <v>0.0675241453413639</v>
      </c>
      <c r="T7" s="37" t="n">
        <f aca="false">(Q7*$B$11)/(1-((1-EXP(-0.1812*E7))/(0.1812*E7)))/$C$11</f>
        <v>3.57656138240622</v>
      </c>
      <c r="U7" s="38" t="n">
        <f aca="false">T7/$D$11</f>
        <v>0.119218712746874</v>
      </c>
      <c r="V7" s="45"/>
      <c r="AB7" s="41" t="s">
        <v>33</v>
      </c>
      <c r="AC7" s="42" t="b">
        <f aca="false">AND(NOT(ISBLANK(C7)),NOT(ISBLANK(D7)),NOT(ISBLANK(F7)),NOT(ISBLANK(G7)),NOT(ISBLANK(M7)),NOT(ISBLANK(O7)),O7&gt;=0,M7&gt;=0,F7&gt;=0,G7&gt;=0,E7&gt;0)</f>
        <v>1</v>
      </c>
      <c r="AD7" s="41" t="s">
        <v>34</v>
      </c>
      <c r="AE7" s="34" t="n">
        <f aca="false">IF($AC$7=0,"Review",IF($F$3="US",(($F$7-$G$7-0.066667*($E$7))/($E$7*$K$7)-($J$7*$O$7))*$N$7,(($F$7-$G$7-0.066667*($E$7))/($E$7*$K$7)-($J$7/8.696*$O$7))*$N$7*37))</f>
        <v>2.76686245544145</v>
      </c>
      <c r="AF7" s="44"/>
    </row>
    <row r="8" customFormat="false" ht="18.55" hidden="false" customHeight="false" outlineLevel="0" collapsed="false">
      <c r="A8" s="46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8"/>
      <c r="O8" s="48"/>
      <c r="P8" s="49" t="n">
        <f aca="false">IF(AC8=TRUE(),ROUND(AVERAGE(P6:P7),1),"N/A")</f>
        <v>2.8</v>
      </c>
      <c r="Q8" s="50"/>
      <c r="R8" s="51"/>
      <c r="S8" s="51"/>
      <c r="T8" s="52" t="s">
        <v>36</v>
      </c>
      <c r="U8" s="53" t="n">
        <f aca="false">IF(AC8=TRUE(),ROUND(AVERAGE(U6:U7),5),"N/A")</f>
        <v>0.11782</v>
      </c>
      <c r="V8" s="54"/>
      <c r="AB8" s="41" t="s">
        <v>37</v>
      </c>
      <c r="AC8" s="42" t="b">
        <f aca="false">AND(AC6,AC7)</f>
        <v>1</v>
      </c>
      <c r="AD8" s="55"/>
      <c r="AE8" s="47"/>
    </row>
    <row r="9" customFormat="false" ht="12.75" hidden="false" customHeight="false" outlineLevel="0" collapsed="false">
      <c r="A9" s="46"/>
      <c r="B9" s="15" t="s">
        <v>38</v>
      </c>
      <c r="C9" s="15" t="s">
        <v>39</v>
      </c>
      <c r="D9" s="15" t="s">
        <v>40</v>
      </c>
      <c r="E9" s="54"/>
      <c r="N9" s="48"/>
      <c r="O9" s="48"/>
      <c r="P9" s="56" t="n">
        <f aca="false">IF(AC8=TRUE(),IF(P8&gt;0,ABS(P6-P7)/P8,"N/A"),"N/A")</f>
        <v>0.0357142857142856</v>
      </c>
      <c r="Q9" s="57"/>
      <c r="R9" s="55"/>
      <c r="S9" s="47"/>
      <c r="T9" s="58" t="s">
        <v>41</v>
      </c>
      <c r="U9" s="59" t="n">
        <f aca="false">IF(AC8=TRUE(),ABS(U6-U7)/ROUND(AVERAGE(U7:U8),5),"N/A")</f>
        <v>0.0235756714478988</v>
      </c>
      <c r="V9" s="60"/>
      <c r="AB9" s="47"/>
      <c r="AC9" s="47"/>
    </row>
    <row r="10" customFormat="false" ht="13.55" hidden="false" customHeight="false" outlineLevel="0" collapsed="false">
      <c r="A10" s="46"/>
      <c r="B10" s="22" t="s">
        <v>42</v>
      </c>
      <c r="C10" s="22" t="s">
        <v>43</v>
      </c>
      <c r="D10" s="22" t="s">
        <v>44</v>
      </c>
      <c r="E10" s="61"/>
      <c r="O10" s="47"/>
      <c r="P10" s="47"/>
      <c r="Q10" s="47"/>
      <c r="T10" s="62"/>
      <c r="U10" s="60"/>
    </row>
    <row r="11" customFormat="false" ht="15" hidden="false" customHeight="false" outlineLevel="0" collapsed="false">
      <c r="A11" s="46"/>
      <c r="B11" s="63" t="n">
        <v>0.00376</v>
      </c>
      <c r="C11" s="64" t="n">
        <v>0.2</v>
      </c>
      <c r="D11" s="65" t="n">
        <v>30</v>
      </c>
      <c r="E11" s="60"/>
    </row>
    <row r="12" customFormat="false" ht="12.75" hidden="false" customHeight="false" outlineLevel="0" collapsed="false">
      <c r="A12" s="46"/>
      <c r="B12" s="62"/>
      <c r="C12" s="66"/>
      <c r="D12" s="60"/>
    </row>
    <row r="13" customFormat="false" ht="12.75" hidden="false" customHeight="false" outlineLevel="0" collapsed="false">
      <c r="A13" s="46"/>
    </row>
    <row r="14" customFormat="false" ht="15" hidden="false" customHeight="false" outlineLevel="0" collapsed="false">
      <c r="A14" s="46"/>
      <c r="B14" s="67" t="s">
        <v>45</v>
      </c>
    </row>
    <row r="15" customFormat="false" ht="12.75" hidden="false" customHeight="false" outlineLevel="0" collapsed="false">
      <c r="A15" s="46"/>
      <c r="B15" s="68" t="s">
        <v>46</v>
      </c>
    </row>
    <row r="16" customFormat="false" ht="12.75" hidden="false" customHeight="false" outlineLevel="0" collapsed="false">
      <c r="A16" s="46"/>
      <c r="B16" s="68" t="s">
        <v>47</v>
      </c>
    </row>
    <row r="17" customFormat="false" ht="12.75" hidden="false" customHeight="false" outlineLevel="0" collapsed="false">
      <c r="A17" s="46"/>
      <c r="B17" s="68" t="s">
        <v>48</v>
      </c>
    </row>
    <row r="18" customFormat="false" ht="12.75" hidden="false" customHeight="false" outlineLevel="0" collapsed="false">
      <c r="A18" s="46"/>
      <c r="B18" s="68" t="s">
        <v>49</v>
      </c>
    </row>
    <row r="19" customFormat="false" ht="12.75" hidden="false" customHeight="false" outlineLevel="0" collapsed="false">
      <c r="A19" s="46"/>
    </row>
    <row r="20" customFormat="false" ht="15" hidden="false" customHeight="false" outlineLevel="0" collapsed="false">
      <c r="A20" s="46"/>
      <c r="B20" s="67" t="s">
        <v>50</v>
      </c>
    </row>
    <row r="21" customFormat="false" ht="12.75" hidden="false" customHeight="false" outlineLevel="0" collapsed="false">
      <c r="A21" s="46"/>
      <c r="B21" s="68" t="s">
        <v>51</v>
      </c>
    </row>
    <row r="22" customFormat="false" ht="12.75" hidden="false" customHeight="false" outlineLevel="0" collapsed="false">
      <c r="A22" s="46"/>
      <c r="B22" s="68" t="s">
        <v>52</v>
      </c>
    </row>
    <row r="23" customFormat="false" ht="12.75" hidden="false" customHeight="false" outlineLevel="0" collapsed="false">
      <c r="A23" s="46"/>
      <c r="B23" s="68" t="s">
        <v>53</v>
      </c>
    </row>
    <row r="24" customFormat="false" ht="12.75" hidden="false" customHeight="false" outlineLevel="0" collapsed="false">
      <c r="A24" s="46"/>
      <c r="B24" s="68" t="s">
        <v>54</v>
      </c>
    </row>
    <row r="25" customFormat="false" ht="12.75" hidden="false" customHeight="false" outlineLevel="0" collapsed="false">
      <c r="A25" s="46"/>
      <c r="B25" s="68" t="s">
        <v>55</v>
      </c>
    </row>
    <row r="26" customFormat="false" ht="12.75" hidden="false" customHeight="false" outlineLevel="0" collapsed="false">
      <c r="A26" s="46"/>
      <c r="B26" s="68" t="s">
        <v>56</v>
      </c>
    </row>
    <row r="27" customFormat="false" ht="12.75" hidden="false" customHeight="false" outlineLevel="0" collapsed="false">
      <c r="A27" s="46"/>
    </row>
    <row r="28" customFormat="false" ht="12.75" hidden="false" customHeight="false" outlineLevel="0" collapsed="false">
      <c r="A28" s="46"/>
      <c r="B28" s="69" t="s">
        <v>57</v>
      </c>
    </row>
    <row r="29" customFormat="false" ht="12.75" hidden="false" customHeight="false" outlineLevel="0" collapsed="false">
      <c r="A29" s="46"/>
      <c r="B29" s="70" t="s">
        <v>58</v>
      </c>
    </row>
    <row r="30" customFormat="false" ht="12.75" hidden="false" customHeight="false" outlineLevel="0" collapsed="false">
      <c r="A30" s="46"/>
      <c r="B30" s="70" t="s">
        <v>59</v>
      </c>
    </row>
    <row r="31" customFormat="false" ht="12.75" hidden="false" customHeight="false" outlineLevel="0" collapsed="false">
      <c r="A31" s="46"/>
      <c r="B31" s="70" t="s">
        <v>60</v>
      </c>
    </row>
    <row r="32" customFormat="false" ht="12.75" hidden="false" customHeight="false" outlineLevel="0" collapsed="false">
      <c r="A32" s="46"/>
    </row>
    <row r="33" customFormat="false" ht="12.75" hidden="false" customHeight="false" outlineLevel="0" collapsed="false">
      <c r="A33" s="46"/>
      <c r="B33" s="70" t="s">
        <v>61</v>
      </c>
    </row>
    <row r="34" customFormat="false" ht="12.75" hidden="false" customHeight="false" outlineLevel="0" collapsed="false">
      <c r="A34" s="46"/>
      <c r="B34" s="70" t="s">
        <v>62</v>
      </c>
    </row>
    <row r="35" customFormat="false" ht="12.75" hidden="false" customHeight="false" outlineLevel="0" collapsed="false">
      <c r="A35" s="46"/>
      <c r="B35" s="70" t="s">
        <v>63</v>
      </c>
    </row>
    <row r="36" customFormat="false" ht="12.75" hidden="false" customHeight="false" outlineLevel="0" collapsed="false">
      <c r="A36" s="46"/>
      <c r="B36" s="71"/>
      <c r="C36" s="72"/>
    </row>
    <row r="37" customFormat="false" ht="12.75" hidden="false" customHeight="false" outlineLevel="0" collapsed="false">
      <c r="A37" s="46"/>
      <c r="B37" s="73" t="s">
        <v>64</v>
      </c>
      <c r="C37" s="73"/>
      <c r="D37" s="54"/>
    </row>
    <row r="38" customFormat="false" ht="12.75" hidden="false" customHeight="false" outlineLevel="0" collapsed="false">
      <c r="A38" s="46"/>
      <c r="B38" s="74" t="s">
        <v>65</v>
      </c>
      <c r="C38" s="75" t="s">
        <v>66</v>
      </c>
      <c r="D38" s="61"/>
    </row>
    <row r="39" customFormat="false" ht="15" hidden="false" customHeight="false" outlineLevel="0" collapsed="false">
      <c r="A39" s="62"/>
      <c r="B39" s="76" t="n">
        <v>3.76</v>
      </c>
      <c r="C39" s="38" t="n">
        <f aca="false">B39*0.001</f>
        <v>0.00376</v>
      </c>
      <c r="D39" s="60"/>
    </row>
    <row r="40" customFormat="false" ht="12.75" hidden="false" customHeight="false" outlineLevel="0" collapsed="false">
      <c r="B40" s="62"/>
      <c r="C40" s="60"/>
    </row>
  </sheetData>
  <sheetProtection sheet="true" password="9ea1" objects="true" scenarios="true" selectLockedCells="true"/>
  <mergeCells count="5">
    <mergeCell ref="H4:J4"/>
    <mergeCell ref="M4:N4"/>
    <mergeCell ref="S4:S5"/>
    <mergeCell ref="R8:S8"/>
    <mergeCell ref="B37:C37"/>
  </mergeCells>
  <dataValidations count="3">
    <dataValidation allowBlank="false" error="You must select either US or SI as your measurement units." errorStyle="stop" errorTitle="Measurement Units" operator="equal" prompt="Please remember to double-check your values (Elevation, Gamma, Volumes, and Sample Temperatures) when converting between US and SI units." promptTitle="US/SI Units" showDropDown="false" showErrorMessage="true" showInputMessage="true" sqref="F3" type="list">
      <formula1>"US,SI"</formula1>
      <formula2>0</formula2>
    </dataValidation>
    <dataValidation allowBlank="true" errorStyle="stop" operator="equal" prompt="This is the Greek letter, gamma. Enter your background in the blue background cells below." promptTitle="Gamma" showDropDown="false" showErrorMessage="true" showInputMessage="true" sqref="O4" type="none">
      <formula1>0</formula1>
      <formula2>0</formula2>
    </dataValidation>
    <dataValidation allowBlank="false" error="You must enter a valid electret ion chamber configuration from the list." errorStyle="stop" errorTitle="EIC Config" operator="equal" showDropDown="false" showErrorMessage="true" showInputMessage="false" sqref="L6:L7" type="list">
      <formula1>"SST,SLT,LST,LLT,LST-OO,LMT-OO,LLT-OO,HST,HLT"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LibreOffice/7.5.5.2$Windows_X86_64 LibreOffice_project/ca8fe7424262805f223b9a2334bc7181abbcbf5e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2017-05-17T06:45:00Z</dcterms:created>
  <dc:creator>Lorin</dc:creator>
  <dc:description/>
  <dc:language>en-US</dc:language>
  <cp:lastModifiedBy>Rad Elec</cp:lastModifiedBy>
  <dcterms:modified xsi:type="dcterms:W3CDTF">2024-07-26T14:15:21Z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