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don Templa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<sst xmlns="http://schemas.openxmlformats.org/spreadsheetml/2006/main" count="50" uniqueCount="43">
  <si>
    <t xml:space="preserve">Background Gamma Calculation Template</t>
  </si>
  <si>
    <t xml:space="preserve">V0.2 (15 July 2020)</t>
  </si>
  <si>
    <t xml:space="preserve">US/SI Units</t>
  </si>
  <si>
    <t xml:space="preserve">US</t>
  </si>
  <si>
    <t xml:space="preserve">Electret</t>
  </si>
  <si>
    <t xml:space="preserve">Start</t>
  </si>
  <si>
    <t xml:space="preserve">End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</si>
  <si>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</si>
  <si>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</si>
  <si>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</si>
  <si>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</si>
  <si>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</si>
  <si>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</si>
  <si>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</si>
  <si>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Radon in Air</t>
  </si>
  <si>
    <t xml:space="preserve">±</t>
  </si>
  <si>
    <t xml:space="preserve">Error %</t>
  </si>
  <si>
    <t xml:space="preserve">Serial Number</t>
  </si>
  <si>
    <t xml:space="preserve">Date/Time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</si>
  <si>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</si>
  <si>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</si>
  <si>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</si>
  <si>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</si>
  <si>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</si>
  <si>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</si>
  <si>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Config</t>
  </si>
  <si>
    <t xml:space="preserve">Valid Data?</t>
  </si>
  <si>
    <t xml:space="preserve">IVD</t>
  </si>
  <si>
    <t xml:space="preserve">SAA001</t>
  </si>
  <si>
    <t xml:space="preserve">SST</t>
  </si>
  <si>
    <t xml:space="preserve">+RnC?</t>
  </si>
  <si>
    <t xml:space="preserve">SAA002</t>
  </si>
  <si>
    <t xml:space="preserve">LMT-OO</t>
  </si>
  <si>
    <t xml:space="preserve">SAA003</t>
  </si>
  <si>
    <t xml:space="preserve">LST</t>
  </si>
  <si>
    <t xml:space="preserve">Average Gamma:</t>
  </si>
  <si>
    <t xml:space="preserve">Instructions:</t>
  </si>
  <si>
    <t xml:space="preserve">1) Read initial voltages and place open E-PERMs into an aluminized Mylar bag. Purge with aged nitrogen before sealing the bag to ensure a radon-free environment.</t>
  </si>
  <si>
    <t xml:space="preserve">2) Exposure time depends on estimated background dose rate, but average exposures range between one week to one year.</t>
  </si>
  <si>
    <t xml:space="preserve">3) If necessary, select either US or SI measurement units from the dropdown box by clicking on the blue cell to the right of “US/SI Units”.</t>
  </si>
  <si>
    <t xml:space="preserve">4) Enter in the required data indicated by the blue cells (such as dates, times, voltages, etc.)</t>
  </si>
  <si>
    <t xml:space="preserve">5) Select the E-PERM configuration from the dropdown box.</t>
  </si>
  <si>
    <t xml:space="preserve">6) Double-check your elevation, especially if switching measurement units between US and SI.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</si>
</sst>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yyyy\-mm\-dd\ hh:mm"/>
    <numFmt numFmtId="169" formatCode="0.00"/>
    <numFmt numFmtId="170" formatCode="0.000000"/>
    <numFmt numFmtId="171" formatCode="0.000"/>
    <numFmt numFmtId="172" formatCode="0.0000"/>
    <numFmt numFmtId="173" formatCode="0.0"/>
    <numFmt numFmtId="174" formatCode="\±0.0"/>
    <numFmt numFmtId="175" formatCode="0%"/>
    <numFmt numFmtId="176" formatCode="General"/>
    <numFmt numFmtId="177" formatCode="0.0%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28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color rgb="FF80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5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2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1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1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1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3" fontId="17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1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Result" xfId="21"/>
    <cellStyle name="Result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1069920</xdr:colOff>
      <xdr:row>2</xdr:row>
      <xdr:rowOff>340920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45600" y="65520"/>
          <a:ext cx="724320" cy="901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6" activeCellId="0" sqref="A6"/>
    </sheetView>
  </sheetViews>
  <sheetFormatPr defaultColWidth="11.53515625" defaultRowHeight="14.65" zeroHeight="false" outlineLevelRow="0" outlineLevelCol="0"/>
  <cols>
    <col collapsed="false" customWidth="true" hidden="false" outlineLevel="0" max="3" min="1" style="1" width="19.44"/>
    <col collapsed="false" customWidth="true" hidden="false" outlineLevel="0" max="4" min="4" style="1" width="13.29"/>
    <col collapsed="false" customWidth="true" hidden="false" outlineLevel="0" max="6" min="5" style="1" width="9.06"/>
    <col collapsed="false" customWidth="true" hidden="true" outlineLevel="0" max="9" min="7" style="1" width="11.05"/>
    <col collapsed="false" customWidth="true" hidden="true" outlineLevel="0" max="10" min="10" style="1" width="12.69"/>
    <col collapsed="false" customWidth="true" hidden="false" outlineLevel="0" max="11" min="11" style="1" width="11.06"/>
    <col collapsed="false" customWidth="true" hidden="false" outlineLevel="0" max="12" min="12" style="1" width="9.06"/>
    <col collapsed="false" customWidth="true" hidden="false" outlineLevel="0" max="13" min="13" style="1" width="13.89"/>
    <col collapsed="false" customWidth="true" hidden="true" outlineLevel="0" max="14" min="14" style="1" width="16.67"/>
    <col collapsed="false" customWidth="true" hidden="true" outlineLevel="0" max="15" min="15" style="1" width="13.12"/>
    <col collapsed="false" customWidth="false" hidden="true" outlineLevel="0" max="17" min="16" style="1" width="11.52"/>
    <col collapsed="false" customWidth="false" hidden="false" outlineLevel="0" max="25" min="18" style="1" width="11.52"/>
    <col collapsed="false" customWidth="true" hidden="false" outlineLevel="0" max="26" min="26" style="2" width="12.58"/>
    <col collapsed="false" customWidth="false" hidden="true" outlineLevel="0" max="29" min="27" style="1" width="11.52"/>
    <col collapsed="false" customWidth="true" hidden="true" outlineLevel="0" max="30" min="30" style="1" width="16.54"/>
    <col collapsed="false" customWidth="false" hidden="true" outlineLevel="0" max="52" min="31" style="1" width="11.52"/>
    <col collapsed="false" customWidth="false" hidden="false" outlineLevel="0" max="64" min="53" style="1" width="11.52"/>
    <col collapsed="false" customWidth="false" hidden="false" outlineLevel="0" max="1024" min="65" style="2" width="11.52"/>
  </cols>
  <sheetData>
    <row r="1" customFormat="false" ht="34.7" hidden="false" customHeight="true" outlineLevel="0" collapsed="false">
      <c r="B1" s="3" t="s">
        <v>0</v>
      </c>
      <c r="E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14.65" hidden="false" customHeight="true" outlineLevel="0" collapsed="false">
      <c r="B2" s="6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customFormat="false" ht="27.7" hidden="false" customHeight="true" outlineLevel="0" collapsed="false">
      <c r="A3" s="7"/>
      <c r="D3" s="8" t="s">
        <v>2</v>
      </c>
      <c r="E3" s="9" t="s">
        <v>3</v>
      </c>
      <c r="F3" s="10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X3" s="5"/>
      <c r="Y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customFormat="false" ht="14.65" hidden="false" customHeight="true" outlineLevel="0" collapsed="false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/>
      <c r="I4" s="13"/>
      <c r="J4" s="13" t="s">
        <v>11</v>
      </c>
      <c r="K4" s="13" t="s">
        <v>11</v>
      </c>
      <c r="L4" s="13" t="s">
        <v>12</v>
      </c>
      <c r="M4" s="13"/>
      <c r="N4" s="13" t="s">
        <v>13</v>
      </c>
      <c r="O4" s="13" t="s">
        <v>14</v>
      </c>
      <c r="P4" s="13" t="s">
        <v>15</v>
      </c>
      <c r="Q4" s="14" t="s">
        <v>16</v>
      </c>
      <c r="R4" s="13" t="s">
        <v>13</v>
      </c>
      <c r="S4" s="15"/>
      <c r="T4" s="5"/>
      <c r="U4" s="5"/>
      <c r="V4" s="5"/>
      <c r="W4" s="5"/>
      <c r="X4" s="5"/>
      <c r="Y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4.65" hidden="false" customHeight="true" outlineLevel="0" collapsed="false">
      <c r="A5" s="16" t="s">
        <v>17</v>
      </c>
      <c r="B5" s="16" t="s">
        <v>18</v>
      </c>
      <c r="C5" s="16" t="s">
        <v>18</v>
      </c>
      <c r="D5" s="16" t="s">
        <v>19</v>
      </c>
      <c r="E5" s="16" t="s">
        <v>20</v>
      </c>
      <c r="F5" s="16" t="s">
        <v>20</v>
      </c>
      <c r="G5" s="17" t="s">
        <v>21</v>
      </c>
      <c r="H5" s="18" t="s">
        <v>22</v>
      </c>
      <c r="I5" s="19" t="s">
        <v>23</v>
      </c>
      <c r="J5" s="16" t="s">
        <v>24</v>
      </c>
      <c r="K5" s="16" t="s">
        <v>25</v>
      </c>
      <c r="L5" s="17" t="str">
        <f aca="false">IF($E$3="US","Feet","Meters")</f>
        <v>Feet</v>
      </c>
      <c r="M5" s="19" t="s">
        <v>24</v>
      </c>
      <c r="N5" s="16" t="str">
        <f aca="false">IF($E$3="US","µR/h","nGy/hr")</f>
        <v>µR/h</v>
      </c>
      <c r="O5" s="16" t="str">
        <f aca="false">IF($E$3="US","pCi/L","Bq/m³")</f>
        <v>pCi/L</v>
      </c>
      <c r="P5" s="16" t="str">
        <f aca="false">IF($E$3="US","pCi/L","Bq/m³")</f>
        <v>pCi/L</v>
      </c>
      <c r="Q5" s="14"/>
      <c r="R5" s="16" t="str">
        <f aca="false">IF($E$3="US","µR/h","nGy/hr")</f>
        <v>µR/h</v>
      </c>
      <c r="S5" s="15"/>
      <c r="T5" s="5"/>
      <c r="U5" s="5"/>
      <c r="V5" s="5"/>
      <c r="W5" s="5"/>
      <c r="X5" s="5"/>
      <c r="Y5" s="5"/>
      <c r="AA5" s="5" t="s">
        <v>26</v>
      </c>
      <c r="AB5" s="11"/>
      <c r="AC5" s="11"/>
      <c r="AD5" s="5" t="s">
        <v>27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18.1" hidden="false" customHeight="true" outlineLevel="0" collapsed="false">
      <c r="A6" s="20" t="s">
        <v>28</v>
      </c>
      <c r="B6" s="21" t="n">
        <v>44013.4513888889</v>
      </c>
      <c r="C6" s="21" t="n">
        <v>44043.5215277778</v>
      </c>
      <c r="D6" s="22" t="n">
        <f aca="false">C6-B6</f>
        <v>30.0701388888889</v>
      </c>
      <c r="E6" s="23" t="n">
        <v>503</v>
      </c>
      <c r="F6" s="24" t="n">
        <v>420</v>
      </c>
      <c r="G6" s="25" t="n">
        <f aca="false">IF(K6="SST",0.314473,IF(K6="SLT",0.031243,IF(K6="LST",0.124228,IF(K6="LLT",0.010189,IF(K6="LST-OO",0.074671,IF(K6="LLT-OO",0.011965,IF(K6="LMT-OO",0.013497,IF(K6="HST",7.2954,IF(K6="HLT",0.60795)))))))))</f>
        <v>0.314473</v>
      </c>
      <c r="H6" s="25" t="n">
        <f aca="false">IF(K6="SST",0.260619,IF(K6="SLT",0.02188,IF(K6="LST",0.040676,IF(K6="LLT",0.003372,IF(K6="LST-OO",0.037557,IF(K6="LLT-OO",0.002079,IF(K6="LMT-OO",0.012499,IF(K6="HST",0.004293,IF(K6="HLT",0.0003578)))))))))</f>
        <v>0.260619</v>
      </c>
      <c r="I6" s="26" t="n">
        <f aca="false">IF(K6="SST",0.087,IF(K6="SLT",0.087,IF(K6="LST",0.12,IF(K6="LLT",0.12,IF(K6="LST-OO",0.12,IF(K6="LLT-OO",0.12,IF(K6="LMT-OO",0.12,IF(K6="HST",0.07,IF(K6="HLT",0.07)))))))))</f>
        <v>0.087</v>
      </c>
      <c r="J6" s="27" t="n">
        <f aca="false">IF(K6="HST",G6+H6*((F6+E6)/2),IF(K6="HLT",G6+H6*((F6+E6)/2),G6+H6*LN((F6+E6)/2)))</f>
        <v>1.91323557841655</v>
      </c>
      <c r="K6" s="24" t="s">
        <v>29</v>
      </c>
      <c r="L6" s="24" t="n">
        <v>300</v>
      </c>
      <c r="M6" s="22" t="n">
        <f aca="false">IF($E$3="US",IF(LEFT(K6,1)="S",IF(L6&lt;=4000,1,IF(L6&gt;4000,0.79+(6*L6/100000))),IF(LEFT(K6,1)="L",IF(L6&lt;=200,1,IF(L6&gt;200,1.005+(4.5526*L6/100000))),IF(LEFT(K6,1)="H",1))),IF($E$3="SI",IF(LEFT(K6,1)="S",IF(L6&lt;=1219.51,1,IF(L6&gt;1219.51,0.79+(6*(L6*3.28)/100000))),IF(LEFT(K6,1)="L",IF(L6&lt;=60.98,1,IF(L6&gt;60.98,1.005+(4.5526*(L6*3.28)/100000))),IF(LEFT(K6,1)="H",1)))))</f>
        <v>1</v>
      </c>
      <c r="N6" s="28" t="n">
        <v>0</v>
      </c>
      <c r="O6" s="29" t="n">
        <f aca="false">IF($AC$6&lt;0,0,IF($AA$6=0,"Review",IF($E$3="US",ROUND((($E$6-$F$6-($AD$6*$D$6))/($D$6*$J$6)-($I$6*$N$6))*$M$6,5),ROUND((($E$6-$F$6-($AD$6*$D$6))/($D$6*$J$6)-($I$6/8.696*$N$6))*$M$6*37,5))))</f>
        <v>1.40785</v>
      </c>
      <c r="P6" s="30" t="n">
        <f aca="false">IF(O6="Review","",IF(O6=0,"",(SQRT(SUMSQ((5),(100*1.4/(E6-F6)),(100*0.1/O6)))/100)*O6))</f>
        <v>0.124575349772264</v>
      </c>
      <c r="Q6" s="31" t="n">
        <f aca="false">IF(O6="Review","",IF(O6=0,"",P6/O6))</f>
        <v>0.0884862377186948</v>
      </c>
      <c r="R6" s="32" t="n">
        <f aca="false">IF(AA6=0,"Review",IF($E$3="US",O6/I6/M6,O6/I6/M6/37*8.696))</f>
        <v>16.182183908046</v>
      </c>
      <c r="S6" s="33"/>
      <c r="T6" s="34"/>
      <c r="U6" s="34"/>
      <c r="V6" s="34"/>
      <c r="W6" s="34"/>
      <c r="X6" s="34"/>
      <c r="Y6" s="34"/>
      <c r="AA6" s="35" t="n">
        <f aca="false">AND(NOT(ISBLANK(B6)),NOT(ISBLANK(C6)),NOT(ISBLANK(E6)),NOT(ISBLANK(F6)),NOT(ISBLANK(L6)),NOT(ISBLANK(N6)),N6&gt;=0,L6&gt;=0,E6&gt;=0,F6&gt;=0,D6&gt;0)</f>
        <v>1</v>
      </c>
      <c r="AB6" s="36" t="s">
        <v>30</v>
      </c>
      <c r="AC6" s="37" t="n">
        <f aca="false">IF($AA$6=0,"Review",IF($E$3="US",(($E$6-$F$6-($AD$6*$D$6))/($D$6*$J$6)-($I$6*$N$6))*$M$6,(($E$6-$F$6-($AD$6*$D$6))/($D$6*$J$6)-($I$6/8.696*$N$6))*$M$6*37))</f>
        <v>1.40784878787392</v>
      </c>
      <c r="AD6" s="38" t="n">
        <f aca="false">IF(OR(K6="SST",K6="LST",K6="LST-OO",K6="HST",K6="LMT-OO"),0.066667,0.022223)</f>
        <v>0.066667</v>
      </c>
      <c r="AE6" s="3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customFormat="false" ht="18.1" hidden="false" customHeight="true" outlineLevel="0" collapsed="false">
      <c r="A7" s="20" t="s">
        <v>31</v>
      </c>
      <c r="B7" s="21" t="n">
        <v>44013.4513888889</v>
      </c>
      <c r="C7" s="21" t="n">
        <v>44043.5215277778</v>
      </c>
      <c r="D7" s="22" t="n">
        <f aca="false">C7-B7</f>
        <v>30.0701388888889</v>
      </c>
      <c r="E7" s="23" t="n">
        <v>703</v>
      </c>
      <c r="F7" s="24" t="n">
        <v>695</v>
      </c>
      <c r="G7" s="25" t="n">
        <f aca="false">IF(K7="SST",0.314473,IF(K7="SLT",0.031243,IF(K7="LST",0.124228,IF(K7="LLT",0.010189,IF(K7="LST-OO",0.074671,IF(K7="LLT-OO",0.011965,IF(K7="LMT-OO",0.013497,IF(K7="HST",7.2954,IF(K7="HLT",0.60795)))))))))</f>
        <v>0.013497</v>
      </c>
      <c r="H7" s="25" t="n">
        <f aca="false">IF(K7="SST",0.260619,IF(K7="SLT",0.02188,IF(K7="LST",0.040676,IF(K7="LLT",0.003372,IF(K7="LST-OO",0.037557,IF(K7="LLT-OO",0.002079,IF(K7="LMT-OO",0.012499,IF(K7="HST",0.004293,IF(K7="HLT",0.0003578)))))))))</f>
        <v>0.012499</v>
      </c>
      <c r="I7" s="26" t="n">
        <f aca="false">IF(K7="SST",0.087,IF(K7="SLT",0.087,IF(K7="LST",0.12,IF(K7="LLT",0.12,IF(K7="LST-OO",0.12,IF(K7="LLT-OO",0.12,IF(K7="LMT-OO",0.12,IF(K7="HST",0.07,IF(K7="HLT",0.07)))))))))</f>
        <v>0.12</v>
      </c>
      <c r="J7" s="27" t="n">
        <f aca="false">IF(K7="HST",G7+H7*((F7+E7)/2),IF(K7="HLT",G7+H7*((F7+E7)/2),G7+H7*LN((F7+E7)/2)))</f>
        <v>0.0953610846271804</v>
      </c>
      <c r="K7" s="24" t="s">
        <v>32</v>
      </c>
      <c r="L7" s="24" t="n">
        <v>300</v>
      </c>
      <c r="M7" s="22" t="n">
        <f aca="false">IF($E$3="US",IF(LEFT(K7,1)="S",IF(L7&lt;=4000,1,IF(L7&gt;4000,0.79+(6*L7/100000))),IF(LEFT(K7,1)="L",IF(L7&lt;=200,1,IF(L7&gt;200,1.005+(4.5526*L7/100000))),IF(LEFT(K7,1)="H",1))),IF($E$3="SI",IF(LEFT(K7,1)="S",IF(L7&lt;=1219.51,1,IF(L7&gt;1219.51,0.79+(6*(L7*3.28)/100000))),IF(LEFT(K7,1)="L",IF(L7&lt;=60.98,1,IF(L7&gt;60.98,1.005+(4.5526*(L7*3.28)/100000))),IF(LEFT(K7,1)="H",1)))))</f>
        <v>1.0186578</v>
      </c>
      <c r="N7" s="28" t="n">
        <v>0</v>
      </c>
      <c r="O7" s="29" t="n">
        <f aca="false">IF($AC$7&lt;0,0,IF($AA$7=0,"Review",IF($E$3="US",ROUND((($E$7-$F$7-($AD$7*$D$7))/($D$7*$J$7)-($I$7*$N$7))*$M$7,5),ROUND((($E$7-$F$7-($AD$7*$D$7))/($D$7*$J$7)-($I$7/8.696*$N$7))*$M$7*37,5))))</f>
        <v>2.12977</v>
      </c>
      <c r="P7" s="30" t="n">
        <f aca="false">IF(O7="Review","",IF(O7=0,"",(SQRT(SUMSQ((5),(100*1.4/(E7-F7)),(100*0.1/O7)))/100)*O7))</f>
        <v>0.400315323685357</v>
      </c>
      <c r="Q7" s="31" t="n">
        <f aca="false">IF(O7="Review","",IF(O7=0,"",P7/O7))</f>
        <v>0.187961762859538</v>
      </c>
      <c r="R7" s="32" t="n">
        <f aca="false">IF(AA7=0,"Review",IF($E$3="US",O7/I7/M7,O7/I7/M7/37*8.696))</f>
        <v>17.4230083285411</v>
      </c>
      <c r="S7" s="33"/>
      <c r="T7" s="34"/>
      <c r="U7" s="34"/>
      <c r="V7" s="34"/>
      <c r="W7" s="34"/>
      <c r="X7" s="34"/>
      <c r="Y7" s="34"/>
      <c r="AA7" s="35" t="n">
        <f aca="false">AND(NOT(ISBLANK(B7)),NOT(ISBLANK(C7)),NOT(ISBLANK(E7)),NOT(ISBLANK(F7)),NOT(ISBLANK(L7)),NOT(ISBLANK(N7)),N7&gt;=0,L7&gt;=0,E7&gt;=0,F7&gt;=0,D7&gt;0)</f>
        <v>1</v>
      </c>
      <c r="AB7" s="36" t="s">
        <v>30</v>
      </c>
      <c r="AC7" s="37" t="n">
        <f aca="false">IF($AA$7=0,"Review",IF($E$3="US",(($E$7-$F$7-($AD$7*$D$7))/($D$7*$J$7)-($I$7*$N$7))*$M$7,(($E$7-$F$7-($AD$7*$D$7))/($D$7*$J$7)-($I$7/8.696*$N$7))*$M$7*37))</f>
        <v>2.12977456654043</v>
      </c>
      <c r="AD7" s="38" t="n">
        <f aca="false">IF(OR(K7="SST",K7="LST",K7="LST-OO",K7="HST",K7="LMT-OO"),0.066667,0.022223)</f>
        <v>0.066667</v>
      </c>
      <c r="AE7" s="33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customFormat="false" ht="18.1" hidden="false" customHeight="true" outlineLevel="0" collapsed="false">
      <c r="A8" s="20" t="s">
        <v>33</v>
      </c>
      <c r="B8" s="21" t="n">
        <v>44013.4513888889</v>
      </c>
      <c r="C8" s="21" t="n">
        <v>44043.5215277778</v>
      </c>
      <c r="D8" s="22" t="n">
        <f aca="false">C8-B8</f>
        <v>30.0701388888889</v>
      </c>
      <c r="E8" s="23" t="n">
        <v>710</v>
      </c>
      <c r="F8" s="24" t="n">
        <v>685</v>
      </c>
      <c r="G8" s="25" t="n">
        <f aca="false">IF(K8="SST",0.314473,IF(K8="SLT",0.031243,IF(K8="LST",0.124228,IF(K8="LLT",0.010189,IF(K8="LST-OO",0.074671,IF(K8="LLT-OO",0.011965,IF(K8="LMT-OO",0.013497,IF(K8="HST",7.2954,IF(K8="HLT",0.60795)))))))))</f>
        <v>0.124228</v>
      </c>
      <c r="H8" s="25" t="n">
        <f aca="false">IF(K8="SST",0.260619,IF(K8="SLT",0.02188,IF(K8="LST",0.040676,IF(K8="LLT",0.003372,IF(K8="LST-OO",0.037557,IF(K8="LLT-OO",0.002079,IF(K8="LMT-OO",0.012499,IF(K8="HST",0.004293,IF(K8="HLT",0.0003578)))))))))</f>
        <v>0.040676</v>
      </c>
      <c r="I8" s="26" t="n">
        <f aca="false">IF(K8="SST",0.087,IF(K8="SLT",0.087,IF(K8="LST",0.12,IF(K8="LLT",0.12,IF(K8="LST-OO",0.12,IF(K8="LLT-OO",0.12,IF(K8="LMT-OO",0.12,IF(K8="HST",0.07,IF(K8="HLT",0.07)))))))))</f>
        <v>0.12</v>
      </c>
      <c r="J8" s="27" t="n">
        <f aca="false">IF(K8="HST",G8+H8*((F8+E8)/2),IF(K8="HLT",G8+H8*((F8+E8)/2),G8+H8*LN((F8+E8)/2)))</f>
        <v>0.390554212247079</v>
      </c>
      <c r="K8" s="24" t="s">
        <v>34</v>
      </c>
      <c r="L8" s="24" t="n">
        <v>300</v>
      </c>
      <c r="M8" s="22" t="n">
        <f aca="false">IF($E$3="US",IF(LEFT(K8,1)="S",IF(L8&lt;=4000,1,IF(L8&gt;4000,0.79+(6*L8/100000))),IF(LEFT(K8,1)="L",IF(L8&lt;=200,1,IF(L8&gt;200,1.005+(4.5526*L8/100000))),IF(LEFT(K8,1)="H",1))),IF($E$3="SI",IF(LEFT(K8,1)="S",IF(L8&lt;=1219.51,1,IF(L8&gt;1219.51,0.79+(6*(L8*3.28)/100000))),IF(LEFT(K8,1)="L",IF(L8&lt;=60.98,1,IF(L8&gt;60.98,1.005+(4.5526*(L8*3.28)/100000))),IF(LEFT(K8,1)="H",1)))))</f>
        <v>1.0186578</v>
      </c>
      <c r="N8" s="28" t="n">
        <v>0</v>
      </c>
      <c r="O8" s="29" t="n">
        <f aca="false">IF($AC$8&lt;0,0,IF($AA$8=0,"Review",IF($E$3="US",ROUND((($E$8-$F$8-($AD$8*$D$8))/($D$8*$J$8)-($I$8*$N$8))*$M$8,5),ROUND((($E$8-$F$8-($AD$8*$D$8))/($D$8*$J$8)-($I$8/8.696*$N$8))*$M$8*37,5))))</f>
        <v>1.99458</v>
      </c>
      <c r="P8" s="30" t="n">
        <f aca="false">IF(O8="Review","",IF(O8=0,"",(SQRT(SUMSQ((5),(100*1.4/(E8-F8)),(100*0.1/O8)))/100)*O8))</f>
        <v>0.180061037110726</v>
      </c>
      <c r="Q8" s="31" t="n">
        <f aca="false">IF(O8="Review","",IF(O8=0,"",P8/O8))</f>
        <v>0.090275164250482</v>
      </c>
      <c r="R8" s="32" t="n">
        <f aca="false">IF(AA8=0,"Review",IF($E$3="US",O8/I8/M8,O8/I8/M8/37*8.696))</f>
        <v>16.317059566029</v>
      </c>
      <c r="S8" s="33"/>
      <c r="T8" s="34"/>
      <c r="U8" s="34"/>
      <c r="V8" s="34"/>
      <c r="W8" s="34"/>
      <c r="X8" s="34"/>
      <c r="Y8" s="34"/>
      <c r="AA8" s="35" t="n">
        <f aca="false">AND(NOT(ISBLANK(B8)),NOT(ISBLANK(C8)),NOT(ISBLANK(E8)),NOT(ISBLANK(F8)),NOT(ISBLANK(L8)),NOT(ISBLANK(N8)),N8&gt;=0,L8&gt;=0,E8&gt;=0,F8&gt;=0,D8&gt;0)</f>
        <v>1</v>
      </c>
      <c r="AB8" s="36" t="s">
        <v>30</v>
      </c>
      <c r="AC8" s="37" t="n">
        <f aca="false">IF($AA$8=0,"Review",IF($E$3="US",(($E$8-$F$8-($AD$8*$D$8))/($D$8*$J$8)-($I$8*$N$8))*$M$8,(($E$8-$F$8-($AD$8*$D$8))/($D$8*$J$8)-($I$8/8.696*$N$8))*$M$8*37))</f>
        <v>1.99457742801421</v>
      </c>
      <c r="AD8" s="38" t="n">
        <f aca="false">IF(OR(K8="SST",K8="LST",K8="LST-OO",K8="HST",K8="LMT-OO"),0.066667,0.022223)</f>
        <v>0.066667</v>
      </c>
      <c r="AE8" s="3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customFormat="false" ht="20.55" hidden="false" customHeight="true" outlineLevel="0" collapsed="false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40" t="s">
        <v>35</v>
      </c>
      <c r="M9" s="40"/>
      <c r="N9" s="41"/>
      <c r="O9" s="42"/>
      <c r="P9" s="43"/>
      <c r="Q9" s="44"/>
      <c r="R9" s="45" t="n">
        <f aca="false">IF(AA9=1,ROUND(AVERAGE(R6:R8),1),"N/A")</f>
        <v>16.6</v>
      </c>
      <c r="S9" s="46"/>
      <c r="AA9" s="35" t="n">
        <f aca="false">AND(AA6,AA7,AA8)</f>
        <v>1</v>
      </c>
      <c r="AB9" s="47"/>
      <c r="AC9" s="39"/>
      <c r="AD9" s="39"/>
    </row>
    <row r="10" customFormat="false" ht="17" hidden="false" customHeight="true" outlineLevel="0" collapsed="false">
      <c r="A10" s="48" t="s">
        <v>36</v>
      </c>
      <c r="L10" s="39"/>
      <c r="M10" s="49"/>
      <c r="N10" s="50"/>
      <c r="O10" s="51"/>
      <c r="P10" s="47"/>
      <c r="Q10" s="39"/>
      <c r="R10" s="39"/>
      <c r="AA10" s="39"/>
    </row>
    <row r="11" customFormat="false" ht="14.65" hidden="false" customHeight="false" outlineLevel="0" collapsed="false">
      <c r="A11" s="52" t="s">
        <v>37</v>
      </c>
      <c r="N11" s="39"/>
      <c r="O11" s="39"/>
    </row>
    <row r="12" customFormat="false" ht="14.65" hidden="false" customHeight="false" outlineLevel="0" collapsed="false">
      <c r="A12" s="52" t="s">
        <v>38</v>
      </c>
    </row>
    <row r="13" customFormat="false" ht="14.65" hidden="false" customHeight="false" outlineLevel="0" collapsed="false">
      <c r="A13" s="53" t="s">
        <v>39</v>
      </c>
    </row>
    <row r="14" customFormat="false" ht="14.65" hidden="false" customHeight="false" outlineLevel="0" collapsed="false">
      <c r="A14" s="53" t="s">
        <v>40</v>
      </c>
    </row>
    <row r="15" customFormat="false" ht="14.65" hidden="false" customHeight="false" outlineLevel="0" collapsed="false">
      <c r="A15" s="53" t="s">
        <v>41</v>
      </c>
    </row>
    <row r="16" customFormat="false" ht="14.65" hidden="false" customHeight="false" outlineLevel="0" collapsed="false">
      <c r="A16" s="53" t="s">
        <v>42</v>
      </c>
    </row>
  </sheetData>
  <sheetProtection sheet="true" password="9ea1" objects="true" scenarios="true" selectLockedCells="true"/>
  <mergeCells count="4">
    <mergeCell ref="G4:I4"/>
    <mergeCell ref="L4:M4"/>
    <mergeCell ref="Q4:Q5"/>
    <mergeCell ref="L9:M9"/>
  </mergeCells>
  <dataValidations count="4">
    <dataValidation allowBlank="false" error="You must select either US or SI as your measurement units.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E3" type="list">
      <formula1>"US,SI"</formula1>
      <formula2>0</formula2>
    </dataValidation>
    <dataValidation allowBlank="true" operator="equal" prompt="This is the Greek letter, gamma. Enter your background in the blue background cells below." promptTitle="Gamma" showDropDown="false" showErrorMessage="true" showInputMessage="true" sqref="N4 R4" type="none">
      <formula1>0</formula1>
      <formula2>0</formula2>
    </dataValidation>
    <dataValidation allowBlank="false" error="You must enter a valid electret ion chamber configuration from the list." errorTitle="EIC Config" operator="equal" showDropDown="false" showErrorMessage="true" showInputMessage="false" sqref="K6:K7" type="list">
      <formula1>"SST,SLT,LST,LLT,LST-OO,LMT-OO,LLT-OO,HST,HLT"</formula1>
      <formula2>0</formula2>
    </dataValidation>
    <dataValidation allowBlank="false" error="You must enter a valid electret ion chamber configuration from the list." errorTitle="EIC Config" operator="equal" showDropDown="false" showErrorMessage="true" showInputMessage="false" sqref="K8" type="list">
      <formula1>"SST,SLT,LST,LLT,LST-OO,LMT-OO,LLT-OO,HST,HLT"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/>
  <cp:lastPrinted>2017-01-31T11:01:40Z</cp:lastPrinted>
  <dcterms:modified xsi:type="dcterms:W3CDTF">2020-07-15T00:15:10Z</dcterms:modified>
  <cp:revision>58</cp:revision>
  <dc:subject/>
  <dc:title/>
</cp:coreProperties>
</file>