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E-RPISU Template" sheetId="1" state="visible" r:id="rId2"/>
    <sheet name="Unattached Fraction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<sst xmlns="http://schemas.openxmlformats.org/spreadsheetml/2006/main" count="317" uniqueCount="70">
  <si>
    <t xml:space="preserve">E-RPISU Calculation Template</t>
  </si>
  <si>
    <t xml:space="preserve">V1.4 (15-Aug-2023)</t>
  </si>
  <si>
    <t xml:space="preserve">US/SI Units</t>
  </si>
  <si>
    <t xml:space="preserve">US</t>
  </si>
  <si>
    <t xml:space="preserve">Electret</t>
  </si>
  <si>
    <t xml:space="preserve">Start</t>
  </si>
  <si>
    <t xml:space="preserve">End</t>
  </si>
  <si>
    <t xml:space="preserve">Total Days</t>
  </si>
  <si>
    <t xml:space="preserve">Chamber</t>
  </si>
  <si>
    <t xml:space="preserve">Initial</t>
  </si>
  <si>
    <t xml:space="preserve">Final</t>
  </si>
  <si>
    <t xml:space="preserve">EIC Configuration Constants</t>
  </si>
  <si>
    <t xml:space="preserve">EIC</t>
  </si>
  <si>
    <t xml:space="preserve">Elevation</t>
  </si>
  <si>
    <t xml:space="preserve">γ</t>
  </si>
  <si>
    <t xml:space="preserve">Radon in Air</t>
  </si>
  <si>
    <t xml:space="preserve">±</t>
  </si>
  <si>
    <t xml:space="preserve">Error %</t>
  </si>
  <si>
    <t xml:space="preserve">Error 1</t>
  </si>
  <si>
    <t xml:space="preserve">Error 2</t>
  </si>
  <si>
    <t xml:space="preserve">Error 3</t>
  </si>
  <si>
    <t xml:space="preserve">Total Error</t>
  </si>
  <si>
    <t xml:space="preserve">Radon</t>
  </si>
  <si>
    <t xml:space="preserve">Serial Number</t>
  </si>
  <si>
    <t xml:space="preserve">Date/Time</t>
  </si>
  <si>
    <t xml:space="preserve">Exposure</t>
  </si>
  <si>
    <t xml:space="preserve">Measurement</t>
  </si>
  <si>
    <t xml:space="preserve">Voltage</t>
  </si>
  <si>
    <t xml:space="preserve">A</t>
  </si>
  <si>
    <t xml:space="preserve">B</t>
  </si>
  <si>
    <t xml:space="preserve">G</t>
  </si>
  <si>
    <t xml:space="preserve">CF</t>
  </si>
  <si>
    <t xml:space="preserve">Config</t>
  </si>
  <si>
    <t xml:space="preserve">(System)</t>
  </si>
  <si>
    <t xml:space="preserve">(Reading)</t>
  </si>
  <si>
    <t xml:space="preserve">(Gamma)</t>
  </si>
  <si>
    <t xml:space="preserve">Confirmation</t>
  </si>
  <si>
    <t xml:space="preserve">BG-WL</t>
  </si>
  <si>
    <t xml:space="preserve">ERP-CF1</t>
  </si>
  <si>
    <t xml:space="preserve">Q1</t>
  </si>
  <si>
    <t xml:space="preserve">Valid Data?</t>
  </si>
  <si>
    <t xml:space="preserve">IVD</t>
  </si>
  <si>
    <t xml:space="preserve">SAA001</t>
  </si>
  <si>
    <t xml:space="preserve">SST</t>
  </si>
  <si>
    <t xml:space="preserve">RnC =</t>
  </si>
  <si>
    <t xml:space="preserve">Gross</t>
  </si>
  <si>
    <t xml:space="preserve">Progeny</t>
  </si>
  <si>
    <t xml:space="preserve">Working Level</t>
  </si>
  <si>
    <t xml:space="preserve">GWL</t>
  </si>
  <si>
    <t xml:space="preserve">ERP-CF2</t>
  </si>
  <si>
    <t xml:space="preserve">Q2</t>
  </si>
  <si>
    <t xml:space="preserve">SAA002</t>
  </si>
  <si>
    <t xml:space="preserve">Gross WL =</t>
  </si>
  <si>
    <t xml:space="preserve">Pump Flow Rate (LPM)</t>
  </si>
  <si>
    <t xml:space="preserve">Net</t>
  </si>
  <si>
    <t xml:space="preserve">Equilibrium</t>
  </si>
  <si>
    <t xml:space="preserve">Ratio</t>
  </si>
  <si>
    <t xml:space="preserve">Instructions:</t>
  </si>
  <si>
    <t xml:space="preserve">1) If necessary, select either US or SI measurement units from the dropdown box by clicking on the blue cell to the right of “US/SI Units”.</t>
  </si>
  <si>
    <t xml:space="preserve">2) Enter in the required data indicated by the blue cells (such as dates, times, voltages, etc.)</t>
  </si>
  <si>
    <t xml:space="preserve">3) Select the E-PERM configuration from the dropdown box.</t>
  </si>
  <si>
    <t xml:space="preserve">4) Double-check your elevation and background gamma, especially if switching measurement units between US and SI.</t>
  </si>
  <si>
    <t xml:space="preserve">5) Confirm pump flow rate for progeny measurement at beginning and termination of exposure period.</t>
  </si>
  <si>
    <t xml:space="preserve">E-RPISU Calculation Template: Unattached Fraction</t>
  </si>
  <si>
    <t xml:space="preserve">Normal Filter</t>
  </si>
  <si>
    <t xml:space="preserve">Attached Fraction:</t>
  </si>
  <si>
    <t xml:space="preserve">Wire Mesh Only</t>
  </si>
  <si>
    <t xml:space="preserve">SAA003</t>
  </si>
  <si>
    <t xml:space="preserve">SAA004</t>
  </si>
  <si>
    <t xml:space="preserve">Unattached Fraction:</t>
  </si>
</sst>
</file>

<file path=xl/styles.xml><?xml version="1.0" encoding="utf-8"?>
<styleSheet xmlns="http://schemas.openxmlformats.org/spreadsheetml/2006/main">
  <numFmts count="15">
    <numFmt numFmtId="164" formatCode="General"/>
    <numFmt numFmtId="165" formatCode="[$$-409]#,##0.00;[RED]\-[$$-409]#,##0.00"/>
    <numFmt numFmtId="166" formatCode="&quot;TRUE&quot;;&quot;TRUE&quot;;&quot;FALSE&quot;"/>
    <numFmt numFmtId="167" formatCode="mm/dd/yyyy\ hh:mm"/>
    <numFmt numFmtId="168" formatCode="yyyy\-mm\-dd\ hh:mm"/>
    <numFmt numFmtId="169" formatCode="0.00"/>
    <numFmt numFmtId="170" formatCode="0.000000"/>
    <numFmt numFmtId="171" formatCode="0.000"/>
    <numFmt numFmtId="172" formatCode="0.0000"/>
    <numFmt numFmtId="173" formatCode="0.0"/>
    <numFmt numFmtId="174" formatCode="\±0.0"/>
    <numFmt numFmtId="175" formatCode="0.00%"/>
    <numFmt numFmtId="176" formatCode="0.00000"/>
    <numFmt numFmtId="177" formatCode="General"/>
    <numFmt numFmtId="178" formatCode="\±0.00000"/>
  </numFmts>
  <fonts count="2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0"/>
      <name val="Arial"/>
      <family val="2"/>
    </font>
    <font>
      <sz val="28"/>
      <name val="Arial"/>
      <family val="2"/>
    </font>
    <font>
      <sz val="14"/>
      <name val="Arial"/>
      <family val="2"/>
    </font>
    <font>
      <b val="true"/>
      <sz val="12"/>
      <name val="Arial"/>
      <family val="2"/>
    </font>
    <font>
      <b val="true"/>
      <sz val="16"/>
      <name val="Arial"/>
      <family val="2"/>
    </font>
    <font>
      <b val="true"/>
      <sz val="12"/>
      <color rgb="FF800000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2"/>
      <color rgb="FF000000"/>
      <name val="Arial"/>
      <family val="2"/>
    </font>
    <font>
      <b val="true"/>
      <sz val="14"/>
      <name val="Arial"/>
      <family val="2"/>
    </font>
    <font>
      <b val="true"/>
      <sz val="10"/>
      <name val="Arial"/>
      <family val="2"/>
    </font>
    <font>
      <sz val="10"/>
      <color rgb="FFFFFFFF"/>
      <name val="Arial"/>
      <family val="2"/>
    </font>
    <font>
      <b val="true"/>
      <sz val="14"/>
      <color rgb="FF000000"/>
      <name val="Arial"/>
      <family val="2"/>
    </font>
    <font>
      <b val="true"/>
      <sz val="20"/>
      <name val="Arial"/>
      <family val="2"/>
    </font>
    <font>
      <b val="true"/>
      <sz val="22"/>
      <name val="Arial"/>
      <family val="2"/>
    </font>
    <font>
      <b val="true"/>
      <sz val="28"/>
      <name val="Arial"/>
      <family val="2"/>
    </font>
    <font>
      <b val="true"/>
      <sz val="2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99"/>
        <bgColor rgb="FFFFFFCC"/>
      </patternFill>
    </fill>
    <fill>
      <patternFill patternType="solid">
        <fgColor rgb="FF00FFFF"/>
        <bgColor rgb="FF00FFFF"/>
      </patternFill>
    </fill>
    <fill>
      <patternFill patternType="solid">
        <fgColor rgb="FFFFFFCC"/>
        <bgColor rgb="FFFFFFFF"/>
      </patternFill>
    </fill>
    <fill>
      <patternFill patternType="solid">
        <fgColor rgb="FFB3B3B3"/>
        <bgColor rgb="FF969696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/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 style="thin">
        <color rgb="FFFFFFFF"/>
      </right>
      <top style="thin">
        <color rgb="FFFFFFFF"/>
      </top>
      <bottom/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thin">
        <color rgb="FF333333"/>
      </left>
      <right style="thin">
        <color rgb="FF333333"/>
      </right>
      <top/>
      <bottom style="thin">
        <color rgb="FF333333"/>
      </bottom>
      <diagonal/>
    </border>
    <border diagonalUp="false" diagonalDown="false">
      <left style="thin">
        <color rgb="FF333333"/>
      </left>
      <right/>
      <top/>
      <bottom style="thin">
        <color rgb="FF333333"/>
      </bottom>
      <diagonal/>
    </border>
    <border diagonalUp="false" diagonalDown="false">
      <left/>
      <right/>
      <top/>
      <bottom style="thin">
        <color rgb="FF333333"/>
      </bottom>
      <diagonal/>
    </border>
    <border diagonalUp="false" diagonalDown="false">
      <left/>
      <right style="thin">
        <color rgb="FF333333"/>
      </right>
      <top/>
      <bottom style="thin">
        <color rgb="FF333333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333333"/>
      </left>
      <right/>
      <top style="thin">
        <color rgb="FF333333"/>
      </top>
      <bottom style="thin">
        <color rgb="FF333333"/>
      </bottom>
      <diagonal/>
    </border>
    <border diagonalUp="false" diagonalDown="false">
      <left/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 diagonalUp="false" diagonalDown="false">
      <left style="thin">
        <color rgb="FF333333"/>
      </left>
      <right/>
      <top style="thin">
        <color rgb="FF333333"/>
      </top>
      <bottom/>
      <diagonal/>
    </border>
    <border diagonalUp="false" diagonalDown="false">
      <left/>
      <right/>
      <top style="thin">
        <color rgb="FF333333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>
        <color rgb="FFFFFFFF"/>
      </right>
      <top/>
      <bottom style="thin">
        <color rgb="FFFFFFFF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false" applyProtection="false"/>
  </cellStyleXfs>
  <cellXfs count="9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4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4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2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9" fillId="2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3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3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3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3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3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0" fillId="4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1" fillId="4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3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7" fillId="3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0" fillId="3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10" fillId="3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10" fillId="3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3" fontId="10" fillId="4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3" fontId="13" fillId="3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4" fontId="14" fillId="3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5" fontId="14" fillId="3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5" fontId="14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10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6" fontId="10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7" fontId="10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3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13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" borderId="1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1" fillId="3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7" fontId="10" fillId="3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3" fontId="10" fillId="3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16" fillId="3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8" fontId="14" fillId="3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3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3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3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6" fillId="4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1" fontId="17" fillId="3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7" fillId="3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8" fontId="0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4" fillId="2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3" fillId="3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5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2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5" fillId="5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5" borderId="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5" borderId="17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5" borderId="2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9" fillId="5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5" fontId="20" fillId="5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8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5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4" fillId="5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4" fillId="2" borderId="1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6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2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5" fillId="6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6" borderId="16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9" fillId="6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5" fontId="20" fillId="6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6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esult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345600</xdr:colOff>
      <xdr:row>0</xdr:row>
      <xdr:rowOff>65520</xdr:rowOff>
    </xdr:from>
    <xdr:to>
      <xdr:col>0</xdr:col>
      <xdr:colOff>1070280</xdr:colOff>
      <xdr:row>2</xdr:row>
      <xdr:rowOff>340920</xdr:rowOff>
    </xdr:to>
    <xdr:pic>
      <xdr:nvPicPr>
        <xdr:cNvPr id="0" name="Image 1" descr=""/>
        <xdr:cNvPicPr/>
      </xdr:nvPicPr>
      <xdr:blipFill>
        <a:blip r:embed="rId1"/>
        <a:stretch/>
      </xdr:blipFill>
      <xdr:spPr>
        <a:xfrm>
          <a:off x="345600" y="65520"/>
          <a:ext cx="724680" cy="9021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345600</xdr:colOff>
      <xdr:row>0</xdr:row>
      <xdr:rowOff>65520</xdr:rowOff>
    </xdr:from>
    <xdr:to>
      <xdr:col>0</xdr:col>
      <xdr:colOff>1070280</xdr:colOff>
      <xdr:row>2</xdr:row>
      <xdr:rowOff>340920</xdr:rowOff>
    </xdr:to>
    <xdr:pic>
      <xdr:nvPicPr>
        <xdr:cNvPr id="1" name="Image 1" descr=""/>
        <xdr:cNvPicPr/>
      </xdr:nvPicPr>
      <xdr:blipFill>
        <a:blip r:embed="rId1"/>
        <a:stretch/>
      </xdr:blipFill>
      <xdr:spPr>
        <a:xfrm>
          <a:off x="345600" y="65520"/>
          <a:ext cx="724680" cy="90216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L1048576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A6" activeCellId="0" sqref="A6"/>
    </sheetView>
  </sheetViews>
  <sheetFormatPr defaultColWidth="11.53515625" defaultRowHeight="14.65" zeroHeight="false" outlineLevelRow="0" outlineLevelCol="0"/>
  <cols>
    <col collapsed="false" customWidth="true" hidden="false" outlineLevel="0" max="3" min="1" style="1" width="19.46"/>
    <col collapsed="false" customWidth="true" hidden="false" outlineLevel="0" max="4" min="4" style="1" width="18.63"/>
    <col collapsed="false" customWidth="true" hidden="false" outlineLevel="0" max="5" min="5" style="1" width="13.48"/>
    <col collapsed="false" customWidth="true" hidden="false" outlineLevel="0" max="7" min="6" style="1" width="9.07"/>
    <col collapsed="false" customWidth="true" hidden="true" outlineLevel="0" max="10" min="8" style="1" width="11.06"/>
    <col collapsed="false" customWidth="true" hidden="true" outlineLevel="0" max="11" min="11" style="1" width="12.7"/>
    <col collapsed="false" customWidth="true" hidden="false" outlineLevel="0" max="12" min="12" style="1" width="11.07"/>
    <col collapsed="false" customWidth="true" hidden="false" outlineLevel="0" max="14" min="13" style="1" width="11.06"/>
    <col collapsed="false" customWidth="true" hidden="false" outlineLevel="0" max="15" min="15" style="1" width="9.07"/>
    <col collapsed="false" customWidth="true" hidden="false" outlineLevel="0" max="16" min="16" style="1" width="13.9"/>
    <col collapsed="false" customWidth="true" hidden="false" outlineLevel="0" max="17" min="17" style="1" width="11.01"/>
    <col collapsed="false" customWidth="true" hidden="false" outlineLevel="0" max="18" min="18" style="1" width="13.14"/>
    <col collapsed="false" customWidth="false" hidden="false" outlineLevel="0" max="26" min="19" style="1" width="11.53"/>
    <col collapsed="false" customWidth="true" hidden="true" outlineLevel="0" max="27" min="27" style="2" width="12.6"/>
    <col collapsed="false" customWidth="true" hidden="true" outlineLevel="0" max="28" min="28" style="1" width="15.39"/>
    <col collapsed="false" customWidth="false" hidden="true" outlineLevel="0" max="30" min="29" style="1" width="11.53"/>
    <col collapsed="false" customWidth="true" hidden="true" outlineLevel="0" max="31" min="31" style="1" width="16.56"/>
    <col collapsed="false" customWidth="false" hidden="true" outlineLevel="0" max="32" min="32" style="1" width="11.53"/>
    <col collapsed="false" customWidth="true" hidden="true" outlineLevel="0" max="33" min="33" style="1" width="15.58"/>
    <col collapsed="false" customWidth="false" hidden="true" outlineLevel="0" max="52" min="34" style="1" width="11.53"/>
    <col collapsed="false" customWidth="false" hidden="false" outlineLevel="0" max="64" min="53" style="1" width="11.53"/>
    <col collapsed="false" customWidth="false" hidden="false" outlineLevel="0" max="1024" min="65" style="3" width="11.53"/>
  </cols>
  <sheetData>
    <row r="1" customFormat="false" ht="34.7" hidden="false" customHeight="true" outlineLevel="0" collapsed="false">
      <c r="B1" s="4" t="s">
        <v>0</v>
      </c>
      <c r="F1" s="5"/>
      <c r="J1" s="6"/>
      <c r="K1" s="6"/>
      <c r="L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</row>
    <row r="2" customFormat="false" ht="14.65" hidden="false" customHeight="true" outlineLevel="0" collapsed="false">
      <c r="B2" s="7" t="s">
        <v>1</v>
      </c>
      <c r="C2" s="7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</row>
    <row r="3" customFormat="false" ht="27.7" hidden="false" customHeight="true" outlineLevel="0" collapsed="false">
      <c r="A3" s="8"/>
      <c r="D3" s="9"/>
      <c r="E3" s="10" t="s">
        <v>2</v>
      </c>
      <c r="F3" s="11" t="s">
        <v>3</v>
      </c>
      <c r="G3" s="12"/>
      <c r="H3" s="13"/>
      <c r="I3" s="13"/>
      <c r="J3" s="13"/>
      <c r="K3" s="14"/>
      <c r="L3" s="13"/>
      <c r="M3" s="12"/>
      <c r="N3" s="12"/>
      <c r="O3" s="13"/>
      <c r="P3" s="13"/>
      <c r="Q3" s="13"/>
      <c r="R3" s="13"/>
      <c r="S3" s="6"/>
      <c r="T3" s="6"/>
      <c r="U3" s="6"/>
      <c r="V3" s="6"/>
      <c r="W3" s="6"/>
      <c r="X3" s="6"/>
      <c r="Y3" s="6"/>
      <c r="Z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</row>
    <row r="4" customFormat="false" ht="14.65" hidden="false" customHeight="true" outlineLevel="0" collapsed="false">
      <c r="A4" s="15" t="s">
        <v>4</v>
      </c>
      <c r="B4" s="15" t="s">
        <v>5</v>
      </c>
      <c r="C4" s="15" t="s">
        <v>6</v>
      </c>
      <c r="D4" s="15" t="s">
        <v>7</v>
      </c>
      <c r="E4" s="15" t="s">
        <v>8</v>
      </c>
      <c r="F4" s="15" t="s">
        <v>9</v>
      </c>
      <c r="G4" s="15" t="s">
        <v>10</v>
      </c>
      <c r="H4" s="15" t="s">
        <v>11</v>
      </c>
      <c r="I4" s="15"/>
      <c r="J4" s="15"/>
      <c r="K4" s="15" t="s">
        <v>12</v>
      </c>
      <c r="L4" s="15" t="s">
        <v>12</v>
      </c>
      <c r="M4" s="15" t="s">
        <v>13</v>
      </c>
      <c r="N4" s="15"/>
      <c r="O4" s="15" t="s">
        <v>14</v>
      </c>
      <c r="P4" s="15" t="s">
        <v>15</v>
      </c>
      <c r="Q4" s="15" t="s">
        <v>16</v>
      </c>
      <c r="R4" s="16" t="s">
        <v>17</v>
      </c>
      <c r="S4" s="17" t="s">
        <v>18</v>
      </c>
      <c r="T4" s="17" t="s">
        <v>19</v>
      </c>
      <c r="U4" s="17" t="s">
        <v>20</v>
      </c>
      <c r="V4" s="17" t="s">
        <v>21</v>
      </c>
      <c r="W4" s="2"/>
      <c r="X4" s="2"/>
      <c r="Y4" s="2"/>
      <c r="Z4" s="2"/>
      <c r="AA4" s="18" t="s">
        <v>22</v>
      </c>
      <c r="AB4" s="18"/>
      <c r="AC4" s="18"/>
      <c r="AD4" s="19"/>
      <c r="AE4" s="2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</row>
    <row r="5" customFormat="false" ht="14.65" hidden="false" customHeight="true" outlineLevel="0" collapsed="false">
      <c r="A5" s="20" t="s">
        <v>23</v>
      </c>
      <c r="B5" s="20" t="s">
        <v>24</v>
      </c>
      <c r="C5" s="20" t="s">
        <v>24</v>
      </c>
      <c r="D5" s="20" t="s">
        <v>25</v>
      </c>
      <c r="E5" s="20" t="s">
        <v>26</v>
      </c>
      <c r="F5" s="20" t="s">
        <v>27</v>
      </c>
      <c r="G5" s="20" t="s">
        <v>27</v>
      </c>
      <c r="H5" s="21" t="s">
        <v>28</v>
      </c>
      <c r="I5" s="22" t="s">
        <v>29</v>
      </c>
      <c r="J5" s="23" t="s">
        <v>30</v>
      </c>
      <c r="K5" s="20" t="s">
        <v>31</v>
      </c>
      <c r="L5" s="20" t="s">
        <v>32</v>
      </c>
      <c r="M5" s="21" t="str">
        <f aca="false">IF($F$3="US","Feet","Meters")</f>
        <v>Feet</v>
      </c>
      <c r="N5" s="23" t="s">
        <v>31</v>
      </c>
      <c r="O5" s="20" t="str">
        <f aca="false">IF($F$3="US","µR/h","nGy/hr")</f>
        <v>µR/h</v>
      </c>
      <c r="P5" s="20" t="str">
        <f aca="false">IF($F$3="US","pCi/L","Bq/m³")</f>
        <v>pCi/L</v>
      </c>
      <c r="Q5" s="20" t="str">
        <f aca="false">IF($F$3="US","pCi/L","Bq/m³")</f>
        <v>pCi/L</v>
      </c>
      <c r="R5" s="16"/>
      <c r="S5" s="24" t="s">
        <v>33</v>
      </c>
      <c r="T5" s="24" t="s">
        <v>34</v>
      </c>
      <c r="U5" s="24" t="s">
        <v>35</v>
      </c>
      <c r="V5" s="24" t="s">
        <v>36</v>
      </c>
      <c r="W5" s="2"/>
      <c r="X5" s="2"/>
      <c r="Y5" s="2"/>
      <c r="Z5" s="2"/>
      <c r="AA5" s="25" t="s">
        <v>37</v>
      </c>
      <c r="AB5" s="25" t="s">
        <v>38</v>
      </c>
      <c r="AC5" s="25" t="s">
        <v>39</v>
      </c>
      <c r="AD5" s="19" t="s">
        <v>40</v>
      </c>
      <c r="AE5" s="13"/>
      <c r="AF5" s="13"/>
      <c r="AG5" s="6" t="s">
        <v>41</v>
      </c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</row>
    <row r="6" customFormat="false" ht="18.1" hidden="false" customHeight="true" outlineLevel="0" collapsed="false">
      <c r="A6" s="26" t="s">
        <v>42</v>
      </c>
      <c r="B6" s="27" t="n">
        <v>43466</v>
      </c>
      <c r="C6" s="27" t="n">
        <v>43468</v>
      </c>
      <c r="D6" s="28" t="n">
        <f aca="false">C6-B6</f>
        <v>2</v>
      </c>
      <c r="E6" s="29" t="s">
        <v>22</v>
      </c>
      <c r="F6" s="30" t="n">
        <v>689</v>
      </c>
      <c r="G6" s="31" t="n">
        <v>680</v>
      </c>
      <c r="H6" s="32" t="n">
        <f aca="false">IF(L6="SST",0.314473,IF(L6="SLT",0.031243,IF(L6="LST",0.124228,IF(L6="LLT",0.010189,IF(L6="LST-OO",0.074671,IF(L6="LLT-OO",0.011965,IF(L6="LMT-OO",0.013497,IF(L6="HST",7.2954,IF(L6="HLT",0.60795)))))))))</f>
        <v>0.314473</v>
      </c>
      <c r="I6" s="32" t="n">
        <f aca="false">IF(L6="SST",0.260619,IF(L6="SLT",0.02188,IF(L6="LST",0.040676,IF(L6="LLT",0.003372,IF(L6="LST-OO",0.037557,IF(L6="LLT-OO",0.002079,IF(L6="LMT-OO",0.012499,IF(L6="HST",0.004293,IF(L6="HLT",0.0003578)))))))))</f>
        <v>0.260619</v>
      </c>
      <c r="J6" s="33" t="n">
        <f aca="false">IF(L6="SST",0.087,IF(L6="SLT",0.087,IF(L6="LST",0.12,IF(L6="LLT",0.12,IF(L6="LST-OO",0.12,IF(L6="LLT-OO",0.12,IF(L6="LMT-OO",0.12,IF(L6="HST",0.07,IF(L6="HLT",0.07)))))))))</f>
        <v>0.087</v>
      </c>
      <c r="K6" s="34" t="n">
        <f aca="false">IF(L6="HST",H6+I6*((G6+F6)/2),IF(L6="HLT",H6+I6*((G6+F6)/2),H6+I6*LN((G6+F6)/2)))</f>
        <v>2.0159733059005</v>
      </c>
      <c r="L6" s="31" t="s">
        <v>43</v>
      </c>
      <c r="M6" s="31" t="n">
        <v>290</v>
      </c>
      <c r="N6" s="28" t="n">
        <f aca="false">IF($F$3="US",IF(LEFT(L6,1)="S",IF(M6&lt;=4000,1,IF(M6&gt;4000,0.79+(6*M6/100000))),IF(LEFT(L6,1)="L",IF(M6&lt;=200,1,IF(M6&gt;200,1.005+(4.5526*M6/100000))),IF(LEFT(L6,1)="H",1))),IF($F$3="SI",IF(LEFT(L6,1)="S",IF(M6&lt;=1219.51,1,IF(M6&gt;1219.51,0.79+(6*(M6*3.28)/100000))),IF(LEFT(L6,1)="L",IF(M6&lt;=60.98,1,IF(M6&gt;60.98,1.005+(4.5526*(M6*3.28)/100000))),IF(LEFT(L6,1)="H",1)))))</f>
        <v>1</v>
      </c>
      <c r="O6" s="35" t="n">
        <v>10</v>
      </c>
      <c r="P6" s="36" t="n">
        <f aca="false">IF($AF$6&lt;0,0,IF($AD$6=0,"Review",IF($F$3="US",ROUND((($F$6-$G$6-($AG$6*$D$6))/($D$6*$K$6)-($J$6*$O$6))*$N$6,5),ROUND((($F$6-$G$6-($AG$6*$D$6))/($D$6*$K$6)-($J$6/8.696*$O$6))*$N$6*37,5))))</f>
        <v>1.3291</v>
      </c>
      <c r="Q6" s="37" t="n">
        <f aca="false">IF(P6="Review","",IF(P6=0,"",(SQRT(SUMSQ((5),(100*1.4/(F6-G6)),(100*0.1/P6)))/100)*P6))</f>
        <v>0.239084441321032</v>
      </c>
      <c r="R6" s="38" t="n">
        <f aca="false">IF(P6="Review","",IF(P6=0,"",Q6/P6))</f>
        <v>0.179884464164496</v>
      </c>
      <c r="S6" s="39" t="n">
        <v>0.05</v>
      </c>
      <c r="T6" s="39" t="n">
        <f aca="false">(100*1.4)/(F6-G6)/100</f>
        <v>0.155555555555556</v>
      </c>
      <c r="U6" s="39" t="n">
        <f aca="false">IF(D6&gt;0,IF($F$3="US",0.1/P6,(0.1*37)/P6),0.1)</f>
        <v>0.0752388834549695</v>
      </c>
      <c r="V6" s="39" t="n">
        <f aca="false">SQRT(S6*S6+T6*T6+U6*U6)</f>
        <v>0.179884464164496</v>
      </c>
      <c r="W6" s="2"/>
      <c r="X6" s="2"/>
      <c r="Y6" s="2"/>
      <c r="Z6" s="2"/>
      <c r="AA6" s="40" t="n">
        <f aca="false">(F6-G6+AC6)/(AB6*D6*((A14+B14)/2))/1000</f>
        <v>0.00092778835822137</v>
      </c>
      <c r="AB6" s="41" t="n">
        <f aca="false">(0.5144+0.000314*((F6+G6)/2))*IF(L6="SST",12.5,1)</f>
        <v>9.1166625</v>
      </c>
      <c r="AC6" s="41" t="n">
        <f aca="false">(F6-G6)*0.03/D6</f>
        <v>0.135</v>
      </c>
      <c r="AD6" s="42" t="b">
        <f aca="false">AND(NOT(ISBLANK(B6)),NOT(ISBLANK(C6)),NOT(ISBLANK(F6)),NOT(ISBLANK(G6)),NOT(ISBLANK(M6)),NOT(ISBLANK(O6)),O6&gt;=0,M6&gt;=0,F6&gt;=0,G6&gt;=0,D6&gt;0)</f>
        <v>1</v>
      </c>
      <c r="AE6" s="43" t="s">
        <v>44</v>
      </c>
      <c r="AF6" s="44" t="n">
        <f aca="false">IF($AD$6=0,"Review",IF($F$3="US",(($F$6-$G$6-($AG$6*$D$6))/($D$6*$K$6)-($J$6*$O$6))*$N$6,(($F$6-$G$6-($AG$6*$D$6))/($D$6*$K$6)-($J$6/8.696*$O$6))*$N$6*37))</f>
        <v>1.32910302731896</v>
      </c>
      <c r="AG6" s="45" t="n">
        <f aca="false">IF(OR(L6="SST",L6="LST",L6="LST-OO",L6="HST",L6="LMT-OO"),0.066667,0.022223)</f>
        <v>0.066667</v>
      </c>
      <c r="AH6" s="46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</row>
    <row r="7" customFormat="false" ht="14.65" hidden="false" customHeight="true" outlineLevel="0" collapsed="false">
      <c r="A7" s="48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2"/>
      <c r="W7" s="2"/>
      <c r="X7" s="2"/>
      <c r="Y7" s="2"/>
      <c r="Z7" s="2"/>
      <c r="AA7" s="49"/>
      <c r="AB7" s="2"/>
      <c r="AC7" s="2"/>
      <c r="AD7" s="49"/>
      <c r="AE7" s="49"/>
      <c r="AF7" s="49"/>
      <c r="AG7" s="49"/>
    </row>
    <row r="8" customFormat="false" ht="14.65" hidden="false" customHeight="true" outlineLevel="0" collapsed="false">
      <c r="A8" s="15" t="s">
        <v>4</v>
      </c>
      <c r="B8" s="15" t="s">
        <v>5</v>
      </c>
      <c r="C8" s="15" t="s">
        <v>6</v>
      </c>
      <c r="D8" s="15" t="s">
        <v>7</v>
      </c>
      <c r="E8" s="15" t="s">
        <v>8</v>
      </c>
      <c r="F8" s="15" t="s">
        <v>9</v>
      </c>
      <c r="G8" s="15" t="s">
        <v>10</v>
      </c>
      <c r="H8" s="15" t="s">
        <v>11</v>
      </c>
      <c r="I8" s="15"/>
      <c r="J8" s="15"/>
      <c r="K8" s="15" t="s">
        <v>12</v>
      </c>
      <c r="L8" s="15" t="s">
        <v>12</v>
      </c>
      <c r="M8" s="15" t="s">
        <v>13</v>
      </c>
      <c r="N8" s="15"/>
      <c r="O8" s="15" t="s">
        <v>14</v>
      </c>
      <c r="P8" s="15" t="s">
        <v>45</v>
      </c>
      <c r="Q8" s="15" t="s">
        <v>16</v>
      </c>
      <c r="R8" s="16" t="s">
        <v>17</v>
      </c>
      <c r="S8" s="17" t="s">
        <v>18</v>
      </c>
      <c r="T8" s="17" t="s">
        <v>19</v>
      </c>
      <c r="U8" s="17" t="s">
        <v>20</v>
      </c>
      <c r="V8" s="17" t="s">
        <v>21</v>
      </c>
      <c r="W8" s="2"/>
      <c r="X8" s="2"/>
      <c r="Y8" s="2"/>
      <c r="Z8" s="2"/>
      <c r="AA8" s="6"/>
      <c r="AB8" s="50" t="s">
        <v>46</v>
      </c>
      <c r="AC8" s="50"/>
      <c r="AD8" s="19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</row>
    <row r="9" customFormat="false" ht="14.65" hidden="false" customHeight="true" outlineLevel="0" collapsed="false">
      <c r="A9" s="20" t="s">
        <v>23</v>
      </c>
      <c r="B9" s="20" t="s">
        <v>24</v>
      </c>
      <c r="C9" s="20" t="s">
        <v>24</v>
      </c>
      <c r="D9" s="20" t="s">
        <v>25</v>
      </c>
      <c r="E9" s="20" t="s">
        <v>26</v>
      </c>
      <c r="F9" s="20" t="s">
        <v>27</v>
      </c>
      <c r="G9" s="20" t="s">
        <v>27</v>
      </c>
      <c r="H9" s="21" t="s">
        <v>28</v>
      </c>
      <c r="I9" s="22" t="s">
        <v>29</v>
      </c>
      <c r="J9" s="23" t="s">
        <v>30</v>
      </c>
      <c r="K9" s="20" t="s">
        <v>31</v>
      </c>
      <c r="L9" s="20" t="s">
        <v>32</v>
      </c>
      <c r="M9" s="21" t="str">
        <f aca="false">IF($F$3="US","Feet","Meters")</f>
        <v>Feet</v>
      </c>
      <c r="N9" s="23" t="s">
        <v>31</v>
      </c>
      <c r="O9" s="20" t="str">
        <f aca="false">IF($F$3="US","µR/h","nGy/hr")</f>
        <v>µR/h</v>
      </c>
      <c r="P9" s="20" t="s">
        <v>47</v>
      </c>
      <c r="Q9" s="20" t="s">
        <v>48</v>
      </c>
      <c r="R9" s="16"/>
      <c r="S9" s="24" t="s">
        <v>33</v>
      </c>
      <c r="T9" s="24" t="s">
        <v>34</v>
      </c>
      <c r="U9" s="24" t="s">
        <v>35</v>
      </c>
      <c r="V9" s="24" t="s">
        <v>36</v>
      </c>
      <c r="W9" s="2"/>
      <c r="X9" s="2"/>
      <c r="Y9" s="2"/>
      <c r="Z9" s="2"/>
      <c r="AA9" s="6"/>
      <c r="AB9" s="25" t="s">
        <v>49</v>
      </c>
      <c r="AC9" s="25" t="s">
        <v>50</v>
      </c>
      <c r="AD9" s="19" t="s">
        <v>40</v>
      </c>
      <c r="AE9" s="13"/>
      <c r="AF9" s="13"/>
      <c r="AG9" s="6" t="s">
        <v>41</v>
      </c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</row>
    <row r="10" customFormat="false" ht="18.1" hidden="false" customHeight="true" outlineLevel="0" collapsed="false">
      <c r="A10" s="26" t="s">
        <v>51</v>
      </c>
      <c r="B10" s="51" t="n">
        <f aca="false">B6</f>
        <v>43466</v>
      </c>
      <c r="C10" s="51" t="n">
        <f aca="false">C6</f>
        <v>43468</v>
      </c>
      <c r="D10" s="28" t="n">
        <f aca="false">C10-B10</f>
        <v>2</v>
      </c>
      <c r="E10" s="29" t="s">
        <v>46</v>
      </c>
      <c r="F10" s="30" t="n">
        <v>703</v>
      </c>
      <c r="G10" s="31" t="n">
        <v>633</v>
      </c>
      <c r="H10" s="32" t="n">
        <f aca="false">IF(L10="SST",0.314473,IF(L10="SLT",0.031243,IF(L10="LST",0.124228,IF(L10="LLT",0.010189,IF(L10="LST-OO",0.074671,IF(L10="LLT-OO",0.011965,IF(L10="LMT-OO",0.013497,IF(L10="HST",7.2954,IF(L10="HLT",0.60795)))))))))</f>
        <v>0.314473</v>
      </c>
      <c r="I10" s="32" t="n">
        <f aca="false">IF(L10="SST",0.260619,IF(L10="SLT",0.02188,IF(L10="LST",0.040676,IF(L10="LLT",0.003372,IF(L10="LST-OO",0.037557,IF(L10="LLT-OO",0.002079,IF(L10="LMT-OO",0.012499,IF(L10="HST",0.004293,IF(L10="HLT",0.0003578)))))))))</f>
        <v>0.260619</v>
      </c>
      <c r="J10" s="33" t="n">
        <f aca="false">IF(L10="SST",0.087,IF(L10="SLT",0.087,IF(L10="LST",0.12,IF(L10="LLT",0.12,IF(L10="LST-OO",0.12,IF(L10="LLT-OO",0.12,IF(L10="LMT-OO",0.12,IF(L10="HST",0.07,IF(L10="HLT",0.07)))))))))</f>
        <v>0.087</v>
      </c>
      <c r="K10" s="34" t="n">
        <f aca="false">IF(L10="HST",H10+I10*((G10+F10)/2),IF(L10="HLT",H10+I10*((G10+F10)/2),H10+I10*LN((G10+F10)/2)))</f>
        <v>2.00961407949895</v>
      </c>
      <c r="L10" s="31" t="s">
        <v>43</v>
      </c>
      <c r="M10" s="52" t="n">
        <f aca="false">M6</f>
        <v>290</v>
      </c>
      <c r="N10" s="28" t="n">
        <f aca="false">IF($F$3="US",IF(LEFT(L10,1)="S",IF(M10&lt;=4000,1,IF(M10&gt;4000,0.79+(6*M10/100000))),IF(LEFT(L10,1)="L",IF(M10&lt;=200,1,IF(M10&gt;200,1.005+(4.5526*M10/100000))),IF(LEFT(L10,1)="H",1))),IF($F$3="SI",IF(LEFT(L10,1)="S",IF(M10&lt;=1219.51,1,IF(M10&gt;1219.51,0.79+(6*(M10*3.28)/100000))),IF(LEFT(L10,1)="L",IF(M10&lt;=60.98,1,IF(M10&gt;60.98,1.005+(4.5526*(M10*3.28)/100000))),IF(LEFT(L10,1)="H",1)))))</f>
        <v>1</v>
      </c>
      <c r="O10" s="53" t="n">
        <f aca="false">O6</f>
        <v>10</v>
      </c>
      <c r="P10" s="54" t="n">
        <f aca="false">IF($AF$10&lt;0,0,IF($AD$10=0,"Review",(F10-G10+AC10)/(AB10*D10*((A14+B14)/2))/1000))</f>
        <v>0.00726776003237299</v>
      </c>
      <c r="Q10" s="55" t="n">
        <f aca="false">IF(P10="Review","",IF(ROUND(P10,3)=0,"",(SQRT(SUMSQ((5),(100*1.4/(F10-G10)),(100*0.0005/P10)))/100)*P10))</f>
        <v>0.000634963758080458</v>
      </c>
      <c r="R10" s="38" t="n">
        <f aca="false">IF(P10="Review","",IF(ROUND(P10,3)=0,"",Q10/P10))</f>
        <v>0.087367188136664</v>
      </c>
      <c r="S10" s="39" t="n">
        <v>0.05</v>
      </c>
      <c r="T10" s="39" t="n">
        <f aca="false">(100*1.4)/(F10-G10)/100</f>
        <v>0.02</v>
      </c>
      <c r="U10" s="39" t="n">
        <f aca="false">IF(D10&gt;0,0.0005/P10,0.0005)</f>
        <v>0.0687969880365939</v>
      </c>
      <c r="V10" s="39" t="n">
        <f aca="false">SQRT(S10*S10+T10*T10+U10*U10)</f>
        <v>0.087367188136664</v>
      </c>
      <c r="W10" s="2"/>
      <c r="X10" s="2"/>
      <c r="Y10" s="2"/>
      <c r="Z10" s="2"/>
      <c r="AA10" s="47"/>
      <c r="AB10" s="41" t="n">
        <f aca="false">(0.5144+0.000314*((F10+G10)/2))*IF(L10="SST",12.5,1)</f>
        <v>9.0519</v>
      </c>
      <c r="AC10" s="41" t="n">
        <f aca="false">(F10-G10)*0.03/D10</f>
        <v>1.05</v>
      </c>
      <c r="AD10" s="42" t="b">
        <f aca="false">AND(NOT(ISBLANK(B10)),NOT(ISBLANK(C10)),NOT(ISBLANK(F10)),NOT(ISBLANK(G10)),NOT(ISBLANK(M10)),NOT(ISBLANK(O10)),O10&gt;=0,M10&gt;=0,F10&gt;=0,G10&gt;=0,D10&gt;0)</f>
        <v>1</v>
      </c>
      <c r="AE10" s="43" t="s">
        <v>52</v>
      </c>
      <c r="AF10" s="56" t="n">
        <f aca="false">IF(AD10=0,"Review",(F10-G10+AC10)/(AB10*D10*((A14+B14)/2))/1000)</f>
        <v>0.00726776003237299</v>
      </c>
      <c r="AG10" s="45" t="n">
        <f aca="false">IF(OR(L10="SST",L10="LST",L10="LST-OO",L10="HST",L10="LMT-OO"),0.066667,0.022223)</f>
        <v>0.066667</v>
      </c>
      <c r="AH10" s="46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</row>
    <row r="11" customFormat="false" ht="14.65" hidden="false" customHeight="true" outlineLevel="0" collapsed="false">
      <c r="A11" s="49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B11" s="49"/>
      <c r="AC11" s="49"/>
      <c r="AD11" s="49"/>
      <c r="AE11" s="49"/>
      <c r="AF11" s="49"/>
      <c r="AG11" s="49"/>
    </row>
    <row r="12" customFormat="false" ht="17" hidden="false" customHeight="true" outlineLevel="0" collapsed="false">
      <c r="A12" s="57" t="s">
        <v>53</v>
      </c>
      <c r="B12" s="57"/>
      <c r="C12" s="58" t="s">
        <v>54</v>
      </c>
      <c r="D12" s="58" t="s">
        <v>55</v>
      </c>
      <c r="E12" s="59"/>
    </row>
    <row r="13" customFormat="false" ht="17" hidden="false" customHeight="true" outlineLevel="0" collapsed="false">
      <c r="A13" s="60" t="s">
        <v>9</v>
      </c>
      <c r="B13" s="60" t="s">
        <v>10</v>
      </c>
      <c r="C13" s="61" t="s">
        <v>47</v>
      </c>
      <c r="D13" s="61" t="s">
        <v>56</v>
      </c>
      <c r="E13" s="59"/>
    </row>
    <row r="14" customFormat="false" ht="17" hidden="false" customHeight="true" outlineLevel="0" collapsed="false">
      <c r="A14" s="62" t="n">
        <v>0.54</v>
      </c>
      <c r="B14" s="62" t="n">
        <v>0.54</v>
      </c>
      <c r="C14" s="63" t="n">
        <f aca="false">IF(OR(P6="Review",P10="Review"),"",IF(P10-AA6&lt;0,0,P10-AA6))</f>
        <v>0.00633997167415162</v>
      </c>
      <c r="D14" s="64" t="n">
        <f aca="false">IF(OR(P6="Review",P10="Review"),"",IF(OR(P6=0,P10=0),"",IF(F3="US",(C14*100)/P6*100,(C14*100)/(P6/37)*100)))</f>
        <v>47.7012389899302</v>
      </c>
      <c r="E14" s="59"/>
    </row>
    <row r="15" customFormat="false" ht="14.65" hidden="false" customHeight="true" outlineLevel="0" collapsed="false">
      <c r="A15" s="62"/>
      <c r="B15" s="62"/>
      <c r="C15" s="63"/>
      <c r="D15" s="63"/>
      <c r="E15" s="59"/>
    </row>
    <row r="16" customFormat="false" ht="14.65" hidden="false" customHeight="true" outlineLevel="0" collapsed="false">
      <c r="A16" s="49"/>
      <c r="B16" s="49"/>
      <c r="C16" s="65" t="str">
        <f aca="false">IF(B16="Review","",IF(B16=0,"",(SQRT(SUMSQ((10),(100*1.4/(#REF!-#REF!)),(100*0.0005/B16)))/100)*B16))</f>
        <v/>
      </c>
      <c r="D16" s="49"/>
    </row>
    <row r="17" customFormat="false" ht="14.65" hidden="false" customHeight="true" outlineLevel="0" collapsed="false">
      <c r="A17" s="66" t="s">
        <v>57</v>
      </c>
    </row>
    <row r="18" customFormat="false" ht="14.65" hidden="false" customHeight="true" outlineLevel="0" collapsed="false">
      <c r="A18" s="67" t="s">
        <v>58</v>
      </c>
    </row>
    <row r="19" customFormat="false" ht="14.65" hidden="false" customHeight="true" outlineLevel="0" collapsed="false">
      <c r="A19" s="67" t="s">
        <v>59</v>
      </c>
    </row>
    <row r="20" customFormat="false" ht="14.65" hidden="false" customHeight="true" outlineLevel="0" collapsed="false">
      <c r="A20" s="67" t="s">
        <v>60</v>
      </c>
    </row>
    <row r="21" customFormat="false" ht="14.65" hidden="false" customHeight="true" outlineLevel="0" collapsed="false">
      <c r="A21" s="67" t="s">
        <v>61</v>
      </c>
    </row>
    <row r="22" customFormat="false" ht="14.65" hidden="false" customHeight="true" outlineLevel="0" collapsed="false">
      <c r="A22" s="68" t="s">
        <v>62</v>
      </c>
    </row>
    <row r="25" customFormat="false" ht="14.65" hidden="false" customHeight="true" outlineLevel="0" collapsed="false">
      <c r="A25" s="68"/>
    </row>
    <row r="1048576" customFormat="false" ht="12.8" hidden="false" customHeight="true" outlineLevel="0" collapsed="false"/>
  </sheetData>
  <sheetProtection sheet="true" password="9ea1" objects="true" scenarios="true" selectLockedCells="true"/>
  <mergeCells count="13">
    <mergeCell ref="H4:J4"/>
    <mergeCell ref="M4:N4"/>
    <mergeCell ref="R4:R5"/>
    <mergeCell ref="AA4:AC4"/>
    <mergeCell ref="H8:J8"/>
    <mergeCell ref="M8:N8"/>
    <mergeCell ref="R8:R9"/>
    <mergeCell ref="AB8:AC8"/>
    <mergeCell ref="A12:B12"/>
    <mergeCell ref="A14:A15"/>
    <mergeCell ref="B14:B15"/>
    <mergeCell ref="C14:C15"/>
    <mergeCell ref="D14:D15"/>
  </mergeCells>
  <dataValidations count="3">
    <dataValidation allowBlank="false" error="You must select either US or SI as your measurement units." errorStyle="stop" errorTitle="Measurement Units" operator="equal" prompt="Please remember to double-check your values (Elevation, Gamma, Volumes, and Sample Temperatures) when converting between US and SI units." promptTitle="US/SI Units" showDropDown="false" showErrorMessage="true" showInputMessage="true" sqref="F3" type="list">
      <formula1>"US,SI"</formula1>
      <formula2>0</formula2>
    </dataValidation>
    <dataValidation allowBlank="true" errorStyle="stop" operator="equal" prompt="This is the Greek letter, gamma. Enter your background in the blue background cells below." promptTitle="Gamma" showDropDown="false" showErrorMessage="true" showInputMessage="true" sqref="O4 O8:P8" type="none">
      <formula1>0</formula1>
      <formula2>0</formula2>
    </dataValidation>
    <dataValidation allowBlank="false" error="You must enter a valid electret ion chamber configuration from the list." errorStyle="stop" errorTitle="EIC Config" operator="equal" showDropDown="false" showErrorMessage="true" showInputMessage="false" sqref="L6 L10" type="list">
      <formula1>"SST,SLT"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L1048576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B8" activeCellId="0" sqref="B8"/>
    </sheetView>
  </sheetViews>
  <sheetFormatPr defaultColWidth="11.53515625" defaultRowHeight="14.65" zeroHeight="false" outlineLevelRow="0" outlineLevelCol="0"/>
  <cols>
    <col collapsed="false" customWidth="true" hidden="false" outlineLevel="0" max="1" min="1" style="3" width="19.46"/>
    <col collapsed="false" customWidth="true" hidden="false" outlineLevel="0" max="4" min="2" style="1" width="19.46"/>
    <col collapsed="false" customWidth="true" hidden="false" outlineLevel="0" max="5" min="5" style="1" width="18.63"/>
    <col collapsed="false" customWidth="true" hidden="false" outlineLevel="0" max="6" min="6" style="1" width="13.48"/>
    <col collapsed="false" customWidth="true" hidden="false" outlineLevel="0" max="8" min="7" style="1" width="9.07"/>
    <col collapsed="false" customWidth="true" hidden="false" outlineLevel="0" max="11" min="9" style="1" width="11.06"/>
    <col collapsed="false" customWidth="true" hidden="false" outlineLevel="0" max="12" min="12" style="1" width="12.7"/>
    <col collapsed="false" customWidth="true" hidden="false" outlineLevel="0" max="13" min="13" style="1" width="11.07"/>
    <col collapsed="false" customWidth="true" hidden="false" outlineLevel="0" max="15" min="14" style="1" width="11.06"/>
    <col collapsed="false" customWidth="true" hidden="false" outlineLevel="0" max="16" min="16" style="1" width="9.07"/>
    <col collapsed="false" customWidth="true" hidden="false" outlineLevel="0" max="17" min="17" style="1" width="13.9"/>
    <col collapsed="false" customWidth="true" hidden="false" outlineLevel="0" max="18" min="18" style="1" width="11.01"/>
    <col collapsed="false" customWidth="true" hidden="false" outlineLevel="0" max="19" min="19" style="1" width="13.14"/>
    <col collapsed="false" customWidth="false" hidden="true" outlineLevel="0" max="23" min="20" style="1" width="11.53"/>
    <col collapsed="false" customWidth="false" hidden="false" outlineLevel="0" max="26" min="24" style="1" width="11.53"/>
    <col collapsed="false" customWidth="false" hidden="true" outlineLevel="0" max="27" min="27" style="1" width="11.53"/>
    <col collapsed="false" customWidth="true" hidden="true" outlineLevel="0" max="28" min="28" style="2" width="12.6"/>
    <col collapsed="false" customWidth="true" hidden="true" outlineLevel="0" max="29" min="29" style="1" width="15.39"/>
    <col collapsed="false" customWidth="false" hidden="true" outlineLevel="0" max="31" min="30" style="1" width="11.53"/>
    <col collapsed="false" customWidth="true" hidden="true" outlineLevel="0" max="32" min="32" style="1" width="16.56"/>
    <col collapsed="false" customWidth="false" hidden="true" outlineLevel="0" max="33" min="33" style="1" width="11.53"/>
    <col collapsed="false" customWidth="true" hidden="true" outlineLevel="0" max="34" min="34" style="1" width="13.9"/>
    <col collapsed="false" customWidth="false" hidden="true" outlineLevel="0" max="52" min="35" style="1" width="11.53"/>
    <col collapsed="false" customWidth="false" hidden="false" outlineLevel="0" max="64" min="53" style="1" width="11.53"/>
    <col collapsed="false" customWidth="false" hidden="false" outlineLevel="0" max="16384" min="65" style="3" width="11.53"/>
  </cols>
  <sheetData>
    <row r="1" customFormat="false" ht="34.7" hidden="false" customHeight="true" outlineLevel="0" collapsed="false">
      <c r="B1" s="4" t="s">
        <v>63</v>
      </c>
      <c r="F1" s="5"/>
      <c r="G1" s="3"/>
      <c r="K1" s="6"/>
      <c r="L1" s="6"/>
      <c r="M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</row>
    <row r="2" customFormat="false" ht="14.65" hidden="false" customHeight="true" outlineLevel="0" collapsed="false">
      <c r="B2" s="7" t="str">
        <f aca="false">'E-RPISU Template'!B2</f>
        <v>V1.4 (15-Aug-2023)</v>
      </c>
      <c r="C2" s="7"/>
      <c r="D2" s="6"/>
      <c r="E2" s="6"/>
      <c r="F2" s="6"/>
      <c r="G2" s="3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</row>
    <row r="3" customFormat="false" ht="27.7" hidden="false" customHeight="true" outlineLevel="0" collapsed="false">
      <c r="D3" s="9"/>
      <c r="E3" s="69" t="s">
        <v>2</v>
      </c>
      <c r="F3" s="11" t="s">
        <v>3</v>
      </c>
      <c r="G3" s="3"/>
      <c r="H3" s="12"/>
      <c r="I3" s="13"/>
      <c r="J3" s="13"/>
      <c r="K3" s="13"/>
      <c r="L3" s="14"/>
      <c r="M3" s="13"/>
      <c r="N3" s="12"/>
      <c r="O3" s="12"/>
      <c r="P3" s="13"/>
      <c r="Q3" s="13"/>
      <c r="R3" s="13"/>
      <c r="S3" s="13"/>
      <c r="T3" s="6"/>
      <c r="U3" s="6"/>
      <c r="V3" s="6"/>
      <c r="W3" s="6"/>
      <c r="X3" s="6"/>
      <c r="Y3" s="6"/>
      <c r="Z3" s="6"/>
      <c r="AA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</row>
    <row r="4" s="3" customFormat="true" ht="29" hidden="false" customHeight="true" outlineLevel="0" collapsed="false"/>
    <row r="5" s="3" customFormat="true" ht="33.95" hidden="false" customHeight="true" outlineLevel="0" collapsed="false">
      <c r="A5" s="70"/>
      <c r="B5" s="71" t="s">
        <v>64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0"/>
      <c r="U5" s="72"/>
      <c r="V5" s="72"/>
      <c r="W5" s="72"/>
      <c r="X5" s="72"/>
    </row>
    <row r="6" customFormat="false" ht="14.65" hidden="false" customHeight="true" outlineLevel="0" collapsed="false">
      <c r="A6" s="73"/>
      <c r="B6" s="15" t="s">
        <v>4</v>
      </c>
      <c r="C6" s="15" t="s">
        <v>5</v>
      </c>
      <c r="D6" s="15" t="s">
        <v>6</v>
      </c>
      <c r="E6" s="15" t="s">
        <v>7</v>
      </c>
      <c r="F6" s="15" t="s">
        <v>8</v>
      </c>
      <c r="G6" s="15" t="s">
        <v>9</v>
      </c>
      <c r="H6" s="15" t="s">
        <v>10</v>
      </c>
      <c r="I6" s="15" t="s">
        <v>11</v>
      </c>
      <c r="J6" s="15"/>
      <c r="K6" s="15"/>
      <c r="L6" s="15" t="s">
        <v>12</v>
      </c>
      <c r="M6" s="15" t="s">
        <v>12</v>
      </c>
      <c r="N6" s="15" t="s">
        <v>13</v>
      </c>
      <c r="O6" s="15"/>
      <c r="P6" s="15" t="s">
        <v>14</v>
      </c>
      <c r="Q6" s="15" t="s">
        <v>15</v>
      </c>
      <c r="R6" s="15" t="s">
        <v>16</v>
      </c>
      <c r="S6" s="16" t="s">
        <v>17</v>
      </c>
      <c r="T6" s="17" t="s">
        <v>18</v>
      </c>
      <c r="U6" s="17" t="s">
        <v>19</v>
      </c>
      <c r="V6" s="17" t="s">
        <v>20</v>
      </c>
      <c r="W6" s="17" t="s">
        <v>21</v>
      </c>
      <c r="X6" s="74"/>
      <c r="Y6" s="2"/>
      <c r="Z6" s="2"/>
      <c r="AA6" s="2"/>
      <c r="AB6" s="18" t="s">
        <v>22</v>
      </c>
      <c r="AC6" s="18"/>
      <c r="AD6" s="18"/>
      <c r="AE6" s="19"/>
      <c r="AF6" s="2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</row>
    <row r="7" customFormat="false" ht="14.65" hidden="false" customHeight="true" outlineLevel="0" collapsed="false">
      <c r="A7" s="73"/>
      <c r="B7" s="20" t="s">
        <v>23</v>
      </c>
      <c r="C7" s="20" t="s">
        <v>24</v>
      </c>
      <c r="D7" s="20" t="s">
        <v>24</v>
      </c>
      <c r="E7" s="20" t="s">
        <v>25</v>
      </c>
      <c r="F7" s="20" t="s">
        <v>26</v>
      </c>
      <c r="G7" s="20" t="s">
        <v>27</v>
      </c>
      <c r="H7" s="20" t="s">
        <v>27</v>
      </c>
      <c r="I7" s="21" t="s">
        <v>28</v>
      </c>
      <c r="J7" s="22" t="s">
        <v>29</v>
      </c>
      <c r="K7" s="23" t="s">
        <v>30</v>
      </c>
      <c r="L7" s="20" t="s">
        <v>31</v>
      </c>
      <c r="M7" s="20" t="s">
        <v>32</v>
      </c>
      <c r="N7" s="21" t="str">
        <f aca="false">IF($F$3="US","Feet","Meters")</f>
        <v>Feet</v>
      </c>
      <c r="O7" s="23" t="s">
        <v>31</v>
      </c>
      <c r="P7" s="20" t="str">
        <f aca="false">IF($F$3="US","µR/h","nGy/hr")</f>
        <v>µR/h</v>
      </c>
      <c r="Q7" s="20" t="str">
        <f aca="false">IF($F$3="US","pCi/L","Bq/m³")</f>
        <v>pCi/L</v>
      </c>
      <c r="R7" s="20" t="str">
        <f aca="false">IF($F$3="US","pCi/L","Bq/m³")</f>
        <v>pCi/L</v>
      </c>
      <c r="S7" s="16"/>
      <c r="T7" s="24" t="s">
        <v>33</v>
      </c>
      <c r="U7" s="24" t="s">
        <v>34</v>
      </c>
      <c r="V7" s="24" t="s">
        <v>35</v>
      </c>
      <c r="W7" s="24" t="s">
        <v>36</v>
      </c>
      <c r="X7" s="74"/>
      <c r="Y7" s="2"/>
      <c r="Z7" s="2"/>
      <c r="AA7" s="2"/>
      <c r="AB7" s="25" t="s">
        <v>37</v>
      </c>
      <c r="AC7" s="25" t="s">
        <v>38</v>
      </c>
      <c r="AD7" s="25" t="s">
        <v>39</v>
      </c>
      <c r="AE7" s="19" t="s">
        <v>40</v>
      </c>
      <c r="AF7" s="13"/>
      <c r="AG7" s="13"/>
      <c r="AH7" s="6" t="s">
        <v>41</v>
      </c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</row>
    <row r="8" customFormat="false" ht="18.1" hidden="false" customHeight="true" outlineLevel="0" collapsed="false">
      <c r="A8" s="73"/>
      <c r="B8" s="26" t="s">
        <v>42</v>
      </c>
      <c r="C8" s="27" t="n">
        <v>43831.3784722222</v>
      </c>
      <c r="D8" s="27" t="n">
        <v>43833.4256944444</v>
      </c>
      <c r="E8" s="28" t="n">
        <f aca="false">D8-C8</f>
        <v>2.04722222222222</v>
      </c>
      <c r="F8" s="29" t="s">
        <v>22</v>
      </c>
      <c r="G8" s="30" t="n">
        <v>491</v>
      </c>
      <c r="H8" s="31" t="n">
        <v>463</v>
      </c>
      <c r="I8" s="32" t="n">
        <f aca="false">IF(M8="SST",0.314473,IF(M8="SLT",0.031243,IF(M8="LST",0.124228,IF(M8="LLT",0.010189,IF(M8="LST-OO",0.074671,IF(M8="LLT-OO",0.011965,IF(M8="LMT-OO",0.013497,IF(M8="HST",7.2954,IF(M8="HLT",0.60795)))))))))</f>
        <v>0.314473</v>
      </c>
      <c r="J8" s="32" t="n">
        <f aca="false">IF(M8="SST",0.260619,IF(M8="SLT",0.02188,IF(M8="LST",0.040676,IF(M8="LLT",0.003372,IF(M8="LST-OO",0.037557,IF(M8="LLT-OO",0.002079,IF(M8="LMT-OO",0.012499,IF(M8="HST",0.004293,IF(M8="HLT",0.0003578)))))))))</f>
        <v>0.260619</v>
      </c>
      <c r="K8" s="33" t="n">
        <f aca="false">IF(M8="SST",0.087,IF(M8="SLT",0.087,IF(M8="LST",0.12,IF(M8="LLT",0.12,IF(M8="LST-OO",0.12,IF(M8="LLT-OO",0.12,IF(M8="LMT-OO",0.12,IF(M8="HST",0.07,IF(M8="HLT",0.07)))))))))</f>
        <v>0.087</v>
      </c>
      <c r="L8" s="34" t="n">
        <f aca="false">IF(M8="HST",I8+J8*((H8+G8)/2),IF(M8="HLT",I8+J8*((H8+G8)/2),I8+J8*LN((H8+G8)/2)))</f>
        <v>1.92184498033883</v>
      </c>
      <c r="M8" s="31" t="s">
        <v>43</v>
      </c>
      <c r="N8" s="31" t="n">
        <v>290</v>
      </c>
      <c r="O8" s="28" t="n">
        <f aca="false">IF($F$3="US",IF(LEFT(M8,1)="S",IF(N8&lt;=4000,1,IF(N8&gt;4000,0.79+(6*N8/100000))),IF(LEFT(M8,1)="L",IF(N8&lt;=200,1,IF(N8&gt;200,1.005+(4.5526*N8/100000))),IF(LEFT(M8,1)="H",1))),IF($F$3="SI",IF(LEFT(M8,1)="S",IF(N8&lt;=1219.51,1,IF(N8&gt;1219.51,0.79+(6*(N8*3.28)/100000))),IF(LEFT(M8,1)="L",IF(N8&lt;=60.98,1,IF(N8&gt;60.98,1.005+(4.5526*(N8*3.28)/100000))),IF(LEFT(M8,1)="H",1)))))</f>
        <v>1</v>
      </c>
      <c r="P8" s="35" t="n">
        <v>10</v>
      </c>
      <c r="Q8" s="36" t="n">
        <f aca="false">IF($AG$8&lt;0,0,IF($AE$8=0,"Review",IF($F$3="US",ROUND((($G$8-$H$8-($AH$8*$E$8))/($E$8*$L$8)-($K$8*$P$8))*$O$8,5),ROUND((($G$8-$H$8-($AH$8*$E$8))/($E$8*$L$8)-($K$8/8.696*$P$8))*$O$8*37,5))))</f>
        <v>6.21195</v>
      </c>
      <c r="R8" s="37" t="n">
        <f aca="false">IF(Q8="Review","",IF(Q8=0,"",(SQRT(SUMSQ((5),(100*1.4/(G8-H8)),(100*0.1/Q8)))/100)*Q8))</f>
        <v>0.450490415006246</v>
      </c>
      <c r="S8" s="38" t="n">
        <f aca="false">IF(Q8="Review","",IF(Q8=0,"",R8/Q8))</f>
        <v>0.0725199679659763</v>
      </c>
      <c r="T8" s="39" t="n">
        <v>0.05</v>
      </c>
      <c r="U8" s="39" t="n">
        <f aca="false">(100*1.4)/(G8-H8)/100</f>
        <v>0.05</v>
      </c>
      <c r="V8" s="39" t="n">
        <f aca="false">IF(E8&gt;0,IF($F$3="US",0.1/Q8,(0.1*37)/Q8),0.1)</f>
        <v>0.0160980046523233</v>
      </c>
      <c r="W8" s="39" t="n">
        <f aca="false">SQRT(T8*T8+U8*U8+V8*V8)</f>
        <v>0.0725199679659763</v>
      </c>
      <c r="X8" s="74"/>
      <c r="Y8" s="2"/>
      <c r="Z8" s="2"/>
      <c r="AA8" s="2"/>
      <c r="AB8" s="40" t="n">
        <f aca="false">(G8-H8+AD8)/(AC8*E8*((B16+C16)/2))/1000</f>
        <v>0.00303916184760364</v>
      </c>
      <c r="AC8" s="41" t="n">
        <f aca="false">(0.5144+0.000314*((G8+H8)/2))*IF(M8="SST",12.5,1)</f>
        <v>8.302225</v>
      </c>
      <c r="AD8" s="41" t="n">
        <f aca="false">(G8-H8)*0.03/E8</f>
        <v>0.410312075983718</v>
      </c>
      <c r="AE8" s="42" t="b">
        <f aca="false">AND(NOT(ISBLANK(C8)),NOT(ISBLANK(D8)),NOT(ISBLANK(G8)),NOT(ISBLANK(H8)),NOT(ISBLANK(N8)),NOT(ISBLANK(P8)),P8&gt;=0,N8&gt;=0,G8&gt;=0,H8&gt;=0,E8&gt;0)</f>
        <v>1</v>
      </c>
      <c r="AF8" s="43" t="s">
        <v>44</v>
      </c>
      <c r="AG8" s="44" t="n">
        <f aca="false">IF($AE$8=0,"Review",IF($F$3="US",(($G$8-$H$8-($AH$8*$E$8))/($E$8*$L$8)-($K$8*$P$8))*$O$8,(($G$8-$H$8-($AH$8*$E$8))/($E$8*$L$8)-($K$8/8.696*$P$8))*$O$8*37))</f>
        <v>6.21194591067261</v>
      </c>
      <c r="AH8" s="45" t="n">
        <f aca="false">IF(OR(M8="SST",M8="LST",M8="LST-OO",M8="HST",M8="LMT-OO"),0.066667,0.022223)</f>
        <v>0.066667</v>
      </c>
      <c r="AI8" s="46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</row>
    <row r="9" customFormat="false" ht="14.65" hidden="false" customHeight="true" outlineLevel="0" collapsed="false">
      <c r="A9" s="70"/>
      <c r="B9" s="75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7"/>
      <c r="U9" s="77"/>
      <c r="V9" s="77"/>
      <c r="W9" s="74"/>
      <c r="X9" s="74"/>
      <c r="Y9" s="2"/>
      <c r="Z9" s="2"/>
      <c r="AA9" s="2"/>
      <c r="AB9" s="49"/>
      <c r="AC9" s="2"/>
      <c r="AD9" s="2"/>
      <c r="AE9" s="49"/>
      <c r="AF9" s="49"/>
      <c r="AG9" s="49"/>
      <c r="AH9" s="49"/>
    </row>
    <row r="10" customFormat="false" ht="14.65" hidden="false" customHeight="true" outlineLevel="0" collapsed="false">
      <c r="A10" s="73"/>
      <c r="B10" s="15" t="s">
        <v>4</v>
      </c>
      <c r="C10" s="15" t="s">
        <v>5</v>
      </c>
      <c r="D10" s="15" t="s">
        <v>6</v>
      </c>
      <c r="E10" s="15" t="s">
        <v>7</v>
      </c>
      <c r="F10" s="15" t="s">
        <v>8</v>
      </c>
      <c r="G10" s="15" t="s">
        <v>9</v>
      </c>
      <c r="H10" s="15" t="s">
        <v>10</v>
      </c>
      <c r="I10" s="15" t="s">
        <v>11</v>
      </c>
      <c r="J10" s="15"/>
      <c r="K10" s="15"/>
      <c r="L10" s="15" t="s">
        <v>12</v>
      </c>
      <c r="M10" s="15" t="s">
        <v>12</v>
      </c>
      <c r="N10" s="15" t="s">
        <v>13</v>
      </c>
      <c r="O10" s="15"/>
      <c r="P10" s="15" t="s">
        <v>14</v>
      </c>
      <c r="Q10" s="15" t="s">
        <v>45</v>
      </c>
      <c r="R10" s="15" t="s">
        <v>16</v>
      </c>
      <c r="S10" s="16" t="s">
        <v>17</v>
      </c>
      <c r="T10" s="17" t="s">
        <v>18</v>
      </c>
      <c r="U10" s="17" t="s">
        <v>19</v>
      </c>
      <c r="V10" s="17" t="s">
        <v>20</v>
      </c>
      <c r="W10" s="17" t="s">
        <v>21</v>
      </c>
      <c r="X10" s="74"/>
      <c r="Y10" s="2"/>
      <c r="Z10" s="2"/>
      <c r="AA10" s="2"/>
      <c r="AB10" s="6"/>
      <c r="AC10" s="50" t="s">
        <v>46</v>
      </c>
      <c r="AD10" s="50"/>
      <c r="AE10" s="19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</row>
    <row r="11" customFormat="false" ht="14.65" hidden="false" customHeight="true" outlineLevel="0" collapsed="false">
      <c r="A11" s="73"/>
      <c r="B11" s="20" t="s">
        <v>23</v>
      </c>
      <c r="C11" s="20" t="s">
        <v>24</v>
      </c>
      <c r="D11" s="20" t="s">
        <v>24</v>
      </c>
      <c r="E11" s="20" t="s">
        <v>25</v>
      </c>
      <c r="F11" s="20" t="s">
        <v>26</v>
      </c>
      <c r="G11" s="20" t="s">
        <v>27</v>
      </c>
      <c r="H11" s="20" t="s">
        <v>27</v>
      </c>
      <c r="I11" s="21" t="s">
        <v>28</v>
      </c>
      <c r="J11" s="22" t="s">
        <v>29</v>
      </c>
      <c r="K11" s="23" t="s">
        <v>30</v>
      </c>
      <c r="L11" s="20" t="s">
        <v>31</v>
      </c>
      <c r="M11" s="20" t="s">
        <v>32</v>
      </c>
      <c r="N11" s="21" t="str">
        <f aca="false">IF($F$3="US","Feet","Meters")</f>
        <v>Feet</v>
      </c>
      <c r="O11" s="23" t="s">
        <v>31</v>
      </c>
      <c r="P11" s="20" t="str">
        <f aca="false">IF($F$3="US","µR/h","nGy/hr")</f>
        <v>µR/h</v>
      </c>
      <c r="Q11" s="20" t="s">
        <v>47</v>
      </c>
      <c r="R11" s="20" t="s">
        <v>48</v>
      </c>
      <c r="S11" s="16"/>
      <c r="T11" s="24" t="s">
        <v>33</v>
      </c>
      <c r="U11" s="24" t="s">
        <v>34</v>
      </c>
      <c r="V11" s="24" t="s">
        <v>35</v>
      </c>
      <c r="W11" s="24" t="s">
        <v>36</v>
      </c>
      <c r="X11" s="74"/>
      <c r="Y11" s="2"/>
      <c r="Z11" s="2"/>
      <c r="AA11" s="2"/>
      <c r="AB11" s="6"/>
      <c r="AC11" s="25" t="s">
        <v>49</v>
      </c>
      <c r="AD11" s="25" t="s">
        <v>50</v>
      </c>
      <c r="AE11" s="19" t="s">
        <v>40</v>
      </c>
      <c r="AF11" s="13"/>
      <c r="AG11" s="13"/>
      <c r="AH11" s="6" t="s">
        <v>41</v>
      </c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</row>
    <row r="12" customFormat="false" ht="18.1" hidden="false" customHeight="true" outlineLevel="0" collapsed="false">
      <c r="A12" s="73"/>
      <c r="B12" s="26" t="s">
        <v>51</v>
      </c>
      <c r="C12" s="51" t="n">
        <f aca="false">C8</f>
        <v>43831.3784722222</v>
      </c>
      <c r="D12" s="51" t="n">
        <f aca="false">D8</f>
        <v>43833.4256944444</v>
      </c>
      <c r="E12" s="28" t="n">
        <f aca="false">D12-C12</f>
        <v>2.04722222222222</v>
      </c>
      <c r="F12" s="29" t="s">
        <v>46</v>
      </c>
      <c r="G12" s="30" t="n">
        <v>639</v>
      </c>
      <c r="H12" s="31" t="n">
        <v>409</v>
      </c>
      <c r="I12" s="32" t="n">
        <f aca="false">IF(M12="SST",0.314473,IF(M12="SLT",0.031243,IF(M12="LST",0.124228,IF(M12="LLT",0.010189,IF(M12="LST-OO",0.074671,IF(M12="LLT-OO",0.011965,IF(M12="LMT-OO",0.013497,IF(M12="HST",7.2954,IF(M12="HLT",0.60795)))))))))</f>
        <v>0.314473</v>
      </c>
      <c r="J12" s="32" t="n">
        <f aca="false">IF(M12="SST",0.260619,IF(M12="SLT",0.02188,IF(M12="LST",0.040676,IF(M12="LLT",0.003372,IF(M12="LST-OO",0.037557,IF(M12="LLT-OO",0.002079,IF(M12="LMT-OO",0.012499,IF(M12="HST",0.004293,IF(M12="HLT",0.0003578)))))))))</f>
        <v>0.260619</v>
      </c>
      <c r="K12" s="33" t="n">
        <f aca="false">IF(M12="SST",0.087,IF(M12="SLT",0.087,IF(M12="LST",0.12,IF(M12="LLT",0.12,IF(M12="LST-OO",0.12,IF(M12="LLT-OO",0.12,IF(M12="LMT-OO",0.12,IF(M12="HST",0.07,IF(M12="HLT",0.07)))))))))</f>
        <v>0.087</v>
      </c>
      <c r="L12" s="34" t="n">
        <f aca="false">IF(M12="HST",I12+J12*((H12+G12)/2),IF(M12="HLT",I12+J12*((H12+G12)/2),I12+J12*LN((H12+G12)/2)))</f>
        <v>1.94633670127607</v>
      </c>
      <c r="M12" s="31" t="s">
        <v>43</v>
      </c>
      <c r="N12" s="52" t="n">
        <f aca="false">N8</f>
        <v>290</v>
      </c>
      <c r="O12" s="28" t="n">
        <f aca="false">IF($F$3="US",IF(LEFT(M12,1)="S",IF(N12&lt;=4000,1,IF(N12&gt;4000,0.79+(6*N12/100000))),IF(LEFT(M12,1)="L",IF(N12&lt;=200,1,IF(N12&gt;200,1.005+(4.5526*N12/100000))),IF(LEFT(M12,1)="H",1))),IF($F$3="SI",IF(LEFT(M12,1)="S",IF(N12&lt;=1219.51,1,IF(N12&gt;1219.51,0.79+(6*(N12*3.28)/100000))),IF(LEFT(M12,1)="L",IF(N12&lt;=60.98,1,IF(N12&gt;60.98,1.005+(4.5526*(N12*3.28)/100000))),IF(LEFT(M12,1)="H",1)))))</f>
        <v>1</v>
      </c>
      <c r="P12" s="53" t="n">
        <f aca="false">P8</f>
        <v>10</v>
      </c>
      <c r="Q12" s="54" t="n">
        <f aca="false">IF($AG$12&lt;0,0,IF($AE$12=0,"Review",(G12-H12+AD12)/(AC12*E12*((B16+C16)/2))/1000))</f>
        <v>0.0244218906311845</v>
      </c>
      <c r="R12" s="55" t="n">
        <f aca="false">IF(Q12="Review","",IF(ROUND(Q12,3)=0,"",(SQRT(SUMSQ((5),(100*1.4/(G12-H12)),(100*0.0005/Q12)))/100)*Q12))</f>
        <v>0.00132784417760538</v>
      </c>
      <c r="S12" s="38" t="n">
        <f aca="false">IF(Q12="Review","",IF(ROUND(Q12,3)=0,"",R12/Q12))</f>
        <v>0.054371063962994</v>
      </c>
      <c r="T12" s="39" t="n">
        <v>0.05</v>
      </c>
      <c r="U12" s="39" t="n">
        <f aca="false">(100*1.4)/(G12-H12)/100</f>
        <v>0.00608695652173913</v>
      </c>
      <c r="V12" s="39" t="n">
        <f aca="false">IF(E12&gt;0,0.0005/Q12,0.0005)</f>
        <v>0.0204734353924895</v>
      </c>
      <c r="W12" s="39" t="n">
        <f aca="false">SQRT(T12*T12+U12*U12+V12*V12)</f>
        <v>0.054371063962994</v>
      </c>
      <c r="X12" s="74"/>
      <c r="Y12" s="2"/>
      <c r="Z12" s="2"/>
      <c r="AA12" s="2"/>
      <c r="AB12" s="47"/>
      <c r="AC12" s="41" t="n">
        <f aca="false">(0.5144+0.000314*((G12+H12)/2))*IF(M12="SST",12.5,1)</f>
        <v>8.4867</v>
      </c>
      <c r="AD12" s="41" t="n">
        <f aca="false">(G12-H12)*0.03/E12</f>
        <v>3.37042062415197</v>
      </c>
      <c r="AE12" s="42" t="b">
        <f aca="false">AND(NOT(ISBLANK(C12)),NOT(ISBLANK(D12)),NOT(ISBLANK(G12)),NOT(ISBLANK(H12)),NOT(ISBLANK(N12)),NOT(ISBLANK(P12)),P12&gt;=0,N12&gt;=0,G12&gt;=0,H12&gt;=0,E12&gt;0)</f>
        <v>1</v>
      </c>
      <c r="AF12" s="43" t="s">
        <v>52</v>
      </c>
      <c r="AG12" s="56" t="n">
        <f aca="false">IF(AE12=0,"Review",(G12-H12+AD12)/(AC12*E12*((B16+C16)/2))/1000)</f>
        <v>0.0244218906311845</v>
      </c>
      <c r="AH12" s="45" t="n">
        <f aca="false">IF(OR(M12="SST",M12="LST",M12="LST-OO",M12="HST",M12="LMT-OO"),0.066667,0.022223)</f>
        <v>0.066667</v>
      </c>
      <c r="AI12" s="46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</row>
    <row r="13" customFormat="false" ht="14.65" hidden="false" customHeight="true" outlineLevel="0" collapsed="false">
      <c r="A13" s="70"/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8"/>
      <c r="V13" s="77"/>
      <c r="W13" s="77"/>
      <c r="X13" s="77"/>
      <c r="Y13" s="49"/>
      <c r="Z13" s="49"/>
      <c r="AA13" s="49"/>
      <c r="AC13" s="49"/>
      <c r="AD13" s="49"/>
      <c r="AE13" s="49"/>
      <c r="AF13" s="49"/>
      <c r="AG13" s="49"/>
      <c r="AH13" s="49"/>
    </row>
    <row r="14" customFormat="false" ht="17" hidden="false" customHeight="true" outlineLevel="0" collapsed="false">
      <c r="A14" s="73"/>
      <c r="B14" s="57" t="s">
        <v>53</v>
      </c>
      <c r="C14" s="57"/>
      <c r="D14" s="58" t="s">
        <v>54</v>
      </c>
      <c r="E14" s="58" t="s">
        <v>55</v>
      </c>
      <c r="F14" s="76"/>
      <c r="G14" s="79" t="s">
        <v>65</v>
      </c>
      <c r="H14" s="79"/>
      <c r="I14" s="79"/>
      <c r="J14" s="79"/>
      <c r="K14" s="79"/>
      <c r="L14" s="79"/>
      <c r="M14" s="79"/>
      <c r="N14" s="79"/>
      <c r="O14" s="79"/>
      <c r="P14" s="79"/>
      <c r="Q14" s="80" t="n">
        <f aca="false">IF(OR(D16="",D32=""),"???",1-Q30)</f>
        <v>0.951549245333598</v>
      </c>
      <c r="R14" s="80"/>
      <c r="S14" s="76"/>
      <c r="T14" s="76"/>
      <c r="U14" s="81"/>
      <c r="V14" s="82"/>
      <c r="W14" s="82"/>
      <c r="X14" s="82"/>
    </row>
    <row r="15" customFormat="false" ht="17" hidden="false" customHeight="true" outlineLevel="0" collapsed="false">
      <c r="A15" s="73"/>
      <c r="B15" s="60" t="s">
        <v>9</v>
      </c>
      <c r="C15" s="60" t="s">
        <v>10</v>
      </c>
      <c r="D15" s="61" t="s">
        <v>47</v>
      </c>
      <c r="E15" s="61" t="s">
        <v>56</v>
      </c>
      <c r="F15" s="76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80"/>
      <c r="R15" s="80"/>
      <c r="S15" s="76"/>
      <c r="T15" s="76"/>
      <c r="U15" s="81"/>
      <c r="V15" s="82"/>
      <c r="W15" s="82"/>
      <c r="X15" s="82"/>
    </row>
    <row r="16" customFormat="false" ht="17" hidden="false" customHeight="true" outlineLevel="0" collapsed="false">
      <c r="A16" s="73"/>
      <c r="B16" s="62" t="n">
        <v>0.6</v>
      </c>
      <c r="C16" s="62" t="n">
        <v>0.5</v>
      </c>
      <c r="D16" s="63" t="n">
        <f aca="false">IF(OR(Q8="Review",Q12="Review"),"",IF(Q12-AB8&lt;0,0,Q12-AB8))</f>
        <v>0.0213827287835809</v>
      </c>
      <c r="E16" s="64" t="n">
        <f aca="false">IF(OR(Q8="Review",Q12="Review"),"",IF(OR(Q8=0,Q12=0),"",IF($F$3="US",(D16*100)/Q8*100,(D16*100)/(Q8/37)*100)))</f>
        <v>34.4219267437453</v>
      </c>
      <c r="F16" s="76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80"/>
      <c r="R16" s="80"/>
      <c r="S16" s="76"/>
      <c r="T16" s="76"/>
      <c r="U16" s="81"/>
      <c r="V16" s="82"/>
      <c r="W16" s="82"/>
      <c r="X16" s="82"/>
    </row>
    <row r="17" customFormat="false" ht="14.65" hidden="false" customHeight="true" outlineLevel="0" collapsed="false">
      <c r="A17" s="73"/>
      <c r="B17" s="62"/>
      <c r="C17" s="62"/>
      <c r="D17" s="63"/>
      <c r="E17" s="63"/>
      <c r="F17" s="76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80"/>
      <c r="R17" s="80"/>
      <c r="S17" s="76"/>
      <c r="T17" s="76"/>
      <c r="U17" s="81"/>
      <c r="V17" s="82"/>
      <c r="W17" s="82"/>
      <c r="X17" s="82"/>
    </row>
    <row r="18" customFormat="false" ht="14.65" hidden="false" customHeight="true" outlineLevel="0" collapsed="false">
      <c r="A18" s="70"/>
      <c r="B18" s="83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81"/>
      <c r="V18" s="82"/>
      <c r="W18" s="82"/>
      <c r="X18" s="82"/>
    </row>
    <row r="19" customFormat="false" ht="14.65" hidden="false" customHeight="true" outlineLevel="0" collapsed="false">
      <c r="B19" s="84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</row>
    <row r="20" customFormat="false" ht="14.65" hidden="false" customHeight="true" outlineLevel="0" collapsed="false">
      <c r="B20" s="67"/>
    </row>
    <row r="21" s="3" customFormat="true" ht="33.95" hidden="false" customHeight="true" outlineLevel="0" collapsed="false">
      <c r="A21" s="85"/>
      <c r="B21" s="86" t="s">
        <v>66</v>
      </c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5"/>
      <c r="U21" s="87"/>
      <c r="V21" s="87"/>
      <c r="W21" s="87"/>
      <c r="X21" s="87"/>
    </row>
    <row r="22" customFormat="false" ht="14.65" hidden="false" customHeight="true" outlineLevel="0" collapsed="false">
      <c r="A22" s="88"/>
      <c r="B22" s="15" t="s">
        <v>4</v>
      </c>
      <c r="C22" s="15" t="s">
        <v>5</v>
      </c>
      <c r="D22" s="15" t="s">
        <v>6</v>
      </c>
      <c r="E22" s="15" t="s">
        <v>7</v>
      </c>
      <c r="F22" s="15" t="s">
        <v>8</v>
      </c>
      <c r="G22" s="15" t="s">
        <v>9</v>
      </c>
      <c r="H22" s="15" t="s">
        <v>10</v>
      </c>
      <c r="I22" s="15" t="s">
        <v>11</v>
      </c>
      <c r="J22" s="15"/>
      <c r="K22" s="15"/>
      <c r="L22" s="15" t="s">
        <v>12</v>
      </c>
      <c r="M22" s="15" t="s">
        <v>12</v>
      </c>
      <c r="N22" s="15" t="s">
        <v>13</v>
      </c>
      <c r="O22" s="15"/>
      <c r="P22" s="15" t="s">
        <v>14</v>
      </c>
      <c r="Q22" s="15" t="s">
        <v>15</v>
      </c>
      <c r="R22" s="15" t="s">
        <v>16</v>
      </c>
      <c r="S22" s="16" t="s">
        <v>17</v>
      </c>
      <c r="T22" s="17" t="s">
        <v>18</v>
      </c>
      <c r="U22" s="17" t="s">
        <v>19</v>
      </c>
      <c r="V22" s="17" t="s">
        <v>20</v>
      </c>
      <c r="W22" s="17" t="s">
        <v>21</v>
      </c>
      <c r="X22" s="89"/>
      <c r="Y22" s="2"/>
      <c r="Z22" s="2"/>
      <c r="AA22" s="2"/>
      <c r="AB22" s="18" t="s">
        <v>22</v>
      </c>
      <c r="AC22" s="18"/>
      <c r="AD22" s="18"/>
      <c r="AE22" s="19"/>
      <c r="AF22" s="2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</row>
    <row r="23" customFormat="false" ht="14.65" hidden="false" customHeight="true" outlineLevel="0" collapsed="false">
      <c r="A23" s="88"/>
      <c r="B23" s="20" t="s">
        <v>23</v>
      </c>
      <c r="C23" s="20" t="s">
        <v>24</v>
      </c>
      <c r="D23" s="20" t="s">
        <v>24</v>
      </c>
      <c r="E23" s="20" t="s">
        <v>25</v>
      </c>
      <c r="F23" s="20" t="s">
        <v>26</v>
      </c>
      <c r="G23" s="20" t="s">
        <v>27</v>
      </c>
      <c r="H23" s="20" t="s">
        <v>27</v>
      </c>
      <c r="I23" s="21" t="s">
        <v>28</v>
      </c>
      <c r="J23" s="22" t="s">
        <v>29</v>
      </c>
      <c r="K23" s="23" t="s">
        <v>30</v>
      </c>
      <c r="L23" s="20" t="s">
        <v>31</v>
      </c>
      <c r="M23" s="20" t="s">
        <v>32</v>
      </c>
      <c r="N23" s="21" t="str">
        <f aca="false">IF($F$3="US","Feet","Meters")</f>
        <v>Feet</v>
      </c>
      <c r="O23" s="23" t="s">
        <v>31</v>
      </c>
      <c r="P23" s="20" t="str">
        <f aca="false">IF($F$3="US","µR/h","nGy/hr")</f>
        <v>µR/h</v>
      </c>
      <c r="Q23" s="20" t="str">
        <f aca="false">IF($F$3="US","pCi/L","Bq/m³")</f>
        <v>pCi/L</v>
      </c>
      <c r="R23" s="20" t="str">
        <f aca="false">IF($F$3="US","pCi/L","Bq/m³")</f>
        <v>pCi/L</v>
      </c>
      <c r="S23" s="16"/>
      <c r="T23" s="24" t="s">
        <v>33</v>
      </c>
      <c r="U23" s="24" t="s">
        <v>34</v>
      </c>
      <c r="V23" s="24" t="s">
        <v>35</v>
      </c>
      <c r="W23" s="24" t="s">
        <v>36</v>
      </c>
      <c r="X23" s="89"/>
      <c r="Y23" s="2"/>
      <c r="Z23" s="2"/>
      <c r="AA23" s="2"/>
      <c r="AB23" s="25" t="s">
        <v>37</v>
      </c>
      <c r="AC23" s="25" t="s">
        <v>38</v>
      </c>
      <c r="AD23" s="25" t="s">
        <v>39</v>
      </c>
      <c r="AE23" s="19" t="s">
        <v>40</v>
      </c>
      <c r="AF23" s="13"/>
      <c r="AG23" s="13"/>
      <c r="AH23" s="6" t="s">
        <v>41</v>
      </c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</row>
    <row r="24" customFormat="false" ht="18.1" hidden="false" customHeight="true" outlineLevel="0" collapsed="false">
      <c r="A24" s="88"/>
      <c r="B24" s="26" t="s">
        <v>67</v>
      </c>
      <c r="C24" s="27" t="n">
        <v>43831.3784722222</v>
      </c>
      <c r="D24" s="27" t="n">
        <v>43833.4256944444</v>
      </c>
      <c r="E24" s="28" t="n">
        <f aca="false">D24-C24</f>
        <v>2.04722222222222</v>
      </c>
      <c r="F24" s="29" t="s">
        <v>22</v>
      </c>
      <c r="G24" s="30" t="n">
        <v>491</v>
      </c>
      <c r="H24" s="31" t="n">
        <v>464</v>
      </c>
      <c r="I24" s="32" t="n">
        <f aca="false">IF(M24="SST",0.314473,IF(M24="SLT",0.031243,IF(M24="LST",0.124228,IF(M24="LLT",0.010189,IF(M24="LST-OO",0.074671,IF(M24="LLT-OO",0.011965,IF(M24="LMT-OO",0.013497,IF(M24="HST",7.2954,IF(M24="HLT",0.60795)))))))))</f>
        <v>0.314473</v>
      </c>
      <c r="J24" s="32" t="n">
        <f aca="false">IF(M24="SST",0.260619,IF(M24="SLT",0.02188,IF(M24="LST",0.040676,IF(M24="LLT",0.003372,IF(M24="LST-OO",0.037557,IF(M24="LLT-OO",0.002079,IF(M24="LMT-OO",0.012499,IF(M24="HST",0.004293,IF(M24="HLT",0.0003578)))))))))</f>
        <v>0.260619</v>
      </c>
      <c r="K24" s="33" t="n">
        <f aca="false">IF(M24="SST",0.087,IF(M24="SLT",0.087,IF(M24="LST",0.12,IF(M24="LLT",0.12,IF(M24="LST-OO",0.12,IF(M24="LLT-OO",0.12,IF(M24="LMT-OO",0.12,IF(M24="HST",0.07,IF(M24="HLT",0.07)))))))))</f>
        <v>0.087</v>
      </c>
      <c r="L24" s="34" t="n">
        <f aca="false">IF(M24="HST",I24+J24*((H24+G24)/2),IF(M24="HLT",I24+J24*((H24+G24)/2),I24+J24*LN((H24+G24)/2)))</f>
        <v>1.9221180227944</v>
      </c>
      <c r="M24" s="31" t="s">
        <v>43</v>
      </c>
      <c r="N24" s="31" t="n">
        <v>290</v>
      </c>
      <c r="O24" s="28" t="n">
        <f aca="false">IF($F$3="US",IF(LEFT(M24,1)="S",IF(N24&lt;=4000,1,IF(N24&gt;4000,0.79+(6*N24/100000))),IF(LEFT(M24,1)="L",IF(N24&lt;=200,1,IF(N24&gt;200,1.005+(4.5526*N24/100000))),IF(LEFT(M24,1)="H",1))),IF($F$3="SI",IF(LEFT(M24,1)="S",IF(N24&lt;=1219.51,1,IF(N24&gt;1219.51,0.79+(6*(N24*3.28)/100000))),IF(LEFT(M24,1)="L",IF(N24&lt;=60.98,1,IF(N24&gt;60.98,1.005+(4.5526*(N24*3.28)/100000))),IF(LEFT(M24,1)="H",1)))))</f>
        <v>1</v>
      </c>
      <c r="P24" s="35" t="n">
        <v>10</v>
      </c>
      <c r="Q24" s="36" t="n">
        <f aca="false">IF($AG$24&lt;0,0,IF($AE$24=0,"Review",IF($F$3="US",ROUND((($G$24-$H$24-($AH$24*$E$24))/($E$24*$L$24)-($K$24*$P$24))*$O$24,5),ROUND((($G$24-$H$24-($AH$24*$E$24))/($E$24*$L$24)-($K$24/8.696*$P$24))*$O$24*37,5))))</f>
        <v>5.95681</v>
      </c>
      <c r="R24" s="37" t="n">
        <f aca="false">IF(Q24="Review","",IF(Q24=0,"",(SQRT(SUMSQ((5),(100*1.4/(G24-H24)),(100*0.1/Q24)))/100)*Q24))</f>
        <v>0.44057989857722</v>
      </c>
      <c r="S24" s="38" t="n">
        <f aca="false">IF(Q24="Review","",IF(Q24=0,"",R24/Q24))</f>
        <v>0.073962389026546</v>
      </c>
      <c r="T24" s="39" t="n">
        <v>0.05</v>
      </c>
      <c r="U24" s="39" t="n">
        <f aca="false">(100*1.4)/(G24-H24)/100</f>
        <v>0.0518518518518519</v>
      </c>
      <c r="V24" s="39" t="n">
        <f aca="false">IF(E24&gt;0,IF($F$3="US",0.1/Q24,(0.1*37)/Q24),0.1)</f>
        <v>0.0167875087504889</v>
      </c>
      <c r="W24" s="39" t="n">
        <f aca="false">SQRT(T24*T24+U24*U24+V24*V24)</f>
        <v>0.073962389026546</v>
      </c>
      <c r="X24" s="89"/>
      <c r="Y24" s="2"/>
      <c r="Z24" s="2"/>
      <c r="AA24" s="2"/>
      <c r="AB24" s="40" t="n">
        <f aca="false">(G24-H24+AD24)/(AC24*E24*((B32+C32)/2))/1000</f>
        <v>0.00292992776964277</v>
      </c>
      <c r="AC24" s="41" t="n">
        <f aca="false">(0.5144+0.000314*((G24+H24)/2))*IF(M24="SST",12.5,1)</f>
        <v>8.3041875</v>
      </c>
      <c r="AD24" s="41" t="n">
        <f aca="false">(G24-H24)*0.03/E24</f>
        <v>0.395658073270014</v>
      </c>
      <c r="AE24" s="42" t="b">
        <f aca="false">AND(NOT(ISBLANK(C24)),NOT(ISBLANK(D24)),NOT(ISBLANK(G24)),NOT(ISBLANK(H24)),NOT(ISBLANK(N24)),NOT(ISBLANK(P24)),P24&gt;=0,N24&gt;=0,G24&gt;=0,H24&gt;=0,E24&gt;0)</f>
        <v>1</v>
      </c>
      <c r="AF24" s="43" t="s">
        <v>44</v>
      </c>
      <c r="AG24" s="44" t="n">
        <f aca="false">IF($AE$8=0,"Review",IF($F$3="US",(($G$24-$H$24-($AH$24*$E$24))/($E$24*$L$24)-($K$24*$P$24))*$O$24,(($G$24-$H$24-($AH$24*$E$24))/($E$24*$L$24)-($K$24/8.696*$P$24))*$O$24*37))</f>
        <v>5.95681046986748</v>
      </c>
      <c r="AH24" s="45" t="n">
        <f aca="false">IF(OR(M24="SST",M24="LST",M24="LST-OO",M24="HST",M24="LMT-OO"),0.066667,0.022223)</f>
        <v>0.066667</v>
      </c>
      <c r="AI24" s="46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</row>
    <row r="25" customFormat="false" ht="14.65" hidden="false" customHeight="true" outlineLevel="0" collapsed="false">
      <c r="A25" s="85"/>
      <c r="B25" s="90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2"/>
      <c r="U25" s="91"/>
      <c r="V25" s="91"/>
      <c r="W25" s="89"/>
      <c r="X25" s="89"/>
      <c r="Y25" s="2"/>
      <c r="Z25" s="2"/>
      <c r="AA25" s="2"/>
      <c r="AB25" s="49"/>
      <c r="AC25" s="2"/>
      <c r="AD25" s="2"/>
      <c r="AE25" s="49"/>
      <c r="AF25" s="49"/>
      <c r="AG25" s="49"/>
      <c r="AH25" s="49"/>
    </row>
    <row r="26" customFormat="false" ht="14.65" hidden="false" customHeight="true" outlineLevel="0" collapsed="false">
      <c r="A26" s="88"/>
      <c r="B26" s="15" t="s">
        <v>4</v>
      </c>
      <c r="C26" s="15" t="s">
        <v>5</v>
      </c>
      <c r="D26" s="15" t="s">
        <v>6</v>
      </c>
      <c r="E26" s="15" t="s">
        <v>7</v>
      </c>
      <c r="F26" s="15" t="s">
        <v>8</v>
      </c>
      <c r="G26" s="15" t="s">
        <v>9</v>
      </c>
      <c r="H26" s="15" t="s">
        <v>10</v>
      </c>
      <c r="I26" s="15" t="s">
        <v>11</v>
      </c>
      <c r="J26" s="15"/>
      <c r="K26" s="15"/>
      <c r="L26" s="15" t="s">
        <v>12</v>
      </c>
      <c r="M26" s="15" t="s">
        <v>12</v>
      </c>
      <c r="N26" s="15" t="s">
        <v>13</v>
      </c>
      <c r="O26" s="15"/>
      <c r="P26" s="15" t="s">
        <v>14</v>
      </c>
      <c r="Q26" s="15" t="s">
        <v>45</v>
      </c>
      <c r="R26" s="15" t="s">
        <v>16</v>
      </c>
      <c r="S26" s="16" t="s">
        <v>17</v>
      </c>
      <c r="T26" s="17" t="s">
        <v>18</v>
      </c>
      <c r="U26" s="17" t="s">
        <v>19</v>
      </c>
      <c r="V26" s="17" t="s">
        <v>20</v>
      </c>
      <c r="W26" s="17" t="s">
        <v>21</v>
      </c>
      <c r="X26" s="89"/>
      <c r="Y26" s="2"/>
      <c r="Z26" s="2"/>
      <c r="AA26" s="2"/>
      <c r="AB26" s="6"/>
      <c r="AC26" s="50" t="s">
        <v>46</v>
      </c>
      <c r="AD26" s="50"/>
      <c r="AE26" s="19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</row>
    <row r="27" customFormat="false" ht="14.65" hidden="false" customHeight="true" outlineLevel="0" collapsed="false">
      <c r="A27" s="88"/>
      <c r="B27" s="20" t="s">
        <v>23</v>
      </c>
      <c r="C27" s="20" t="s">
        <v>24</v>
      </c>
      <c r="D27" s="20" t="s">
        <v>24</v>
      </c>
      <c r="E27" s="20" t="s">
        <v>25</v>
      </c>
      <c r="F27" s="20" t="s">
        <v>26</v>
      </c>
      <c r="G27" s="20" t="s">
        <v>27</v>
      </c>
      <c r="H27" s="20" t="s">
        <v>27</v>
      </c>
      <c r="I27" s="21" t="s">
        <v>28</v>
      </c>
      <c r="J27" s="22" t="s">
        <v>29</v>
      </c>
      <c r="K27" s="23" t="s">
        <v>30</v>
      </c>
      <c r="L27" s="20" t="s">
        <v>31</v>
      </c>
      <c r="M27" s="20" t="s">
        <v>32</v>
      </c>
      <c r="N27" s="21" t="str">
        <f aca="false">IF($F$3="US","Feet","Meters")</f>
        <v>Feet</v>
      </c>
      <c r="O27" s="23" t="s">
        <v>31</v>
      </c>
      <c r="P27" s="20" t="str">
        <f aca="false">IF($F$3="US","µR/h","nGy/hr")</f>
        <v>µR/h</v>
      </c>
      <c r="Q27" s="20" t="s">
        <v>47</v>
      </c>
      <c r="R27" s="20" t="s">
        <v>48</v>
      </c>
      <c r="S27" s="16"/>
      <c r="T27" s="24" t="s">
        <v>33</v>
      </c>
      <c r="U27" s="24" t="s">
        <v>34</v>
      </c>
      <c r="V27" s="24" t="s">
        <v>35</v>
      </c>
      <c r="W27" s="24" t="s">
        <v>36</v>
      </c>
      <c r="X27" s="89"/>
      <c r="Y27" s="2"/>
      <c r="Z27" s="2"/>
      <c r="AA27" s="2"/>
      <c r="AB27" s="6"/>
      <c r="AC27" s="25" t="s">
        <v>49</v>
      </c>
      <c r="AD27" s="25" t="s">
        <v>50</v>
      </c>
      <c r="AE27" s="19" t="s">
        <v>40</v>
      </c>
      <c r="AF27" s="13"/>
      <c r="AG27" s="13"/>
      <c r="AH27" s="6" t="s">
        <v>41</v>
      </c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</row>
    <row r="28" customFormat="false" ht="18.1" hidden="false" customHeight="true" outlineLevel="0" collapsed="false">
      <c r="A28" s="88"/>
      <c r="B28" s="26" t="s">
        <v>68</v>
      </c>
      <c r="C28" s="51" t="n">
        <f aca="false">C24</f>
        <v>43831.3784722222</v>
      </c>
      <c r="D28" s="51" t="n">
        <f aca="false">D24</f>
        <v>43833.4256944444</v>
      </c>
      <c r="E28" s="28" t="n">
        <f aca="false">D28-C28</f>
        <v>2.04722222222222</v>
      </c>
      <c r="F28" s="29" t="s">
        <v>46</v>
      </c>
      <c r="G28" s="30" t="n">
        <v>639</v>
      </c>
      <c r="H28" s="31" t="n">
        <v>600</v>
      </c>
      <c r="I28" s="32" t="n">
        <f aca="false">IF(M28="SST",0.314473,IF(M28="SLT",0.031243,IF(M28="LST",0.124228,IF(M28="LLT",0.010189,IF(M28="LST-OO",0.074671,IF(M28="LLT-OO",0.011965,IF(M28="LMT-OO",0.013497,IF(M28="HST",7.2954,IF(M28="HLT",0.60795)))))))))</f>
        <v>0.314473</v>
      </c>
      <c r="J28" s="32" t="n">
        <f aca="false">IF(M28="SST",0.260619,IF(M28="SLT",0.02188,IF(M28="LST",0.040676,IF(M28="LLT",0.003372,IF(M28="LST-OO",0.037557,IF(M28="LLT-OO",0.002079,IF(M28="LMT-OO",0.012499,IF(M28="HST",0.004293,IF(M28="HLT",0.0003578)))))))))</f>
        <v>0.260619</v>
      </c>
      <c r="K28" s="33" t="n">
        <f aca="false">IF(M28="SST",0.087,IF(M28="SLT",0.087,IF(M28="LST",0.12,IF(M28="LLT",0.12,IF(M28="LST-OO",0.12,IF(M28="LLT-OO",0.12,IF(M28="LMT-OO",0.12,IF(M28="HST",0.07,IF(M28="HLT",0.07)))))))))</f>
        <v>0.087</v>
      </c>
      <c r="L28" s="34" t="n">
        <f aca="false">IF(M28="HST",I28+J28*((H28+G28)/2),IF(M28="HLT",I28+J28*((H28+G28)/2),I28+J28*LN((H28+G28)/2)))</f>
        <v>1.98996979923995</v>
      </c>
      <c r="M28" s="31" t="s">
        <v>43</v>
      </c>
      <c r="N28" s="52" t="n">
        <f aca="false">N24</f>
        <v>290</v>
      </c>
      <c r="O28" s="28" t="n">
        <f aca="false">IF($F$3="US",IF(LEFT(M28,1)="S",IF(N28&lt;=4000,1,IF(N28&gt;4000,0.79+(6*N28/100000))),IF(LEFT(M28,1)="L",IF(N28&lt;=200,1,IF(N28&gt;200,1.005+(4.5526*N28/100000))),IF(LEFT(M28,1)="H",1))),IF($F$3="SI",IF(LEFT(M28,1)="S",IF(N28&lt;=1219.51,1,IF(N28&gt;1219.51,0.79+(6*(N28*3.28)/100000))),IF(LEFT(M28,1)="L",IF(N28&lt;=60.98,1,IF(N28&gt;60.98,1.005+(4.5526*(N28*3.28)/100000))),IF(LEFT(M28,1)="H",1)))))</f>
        <v>1</v>
      </c>
      <c r="P28" s="53" t="n">
        <f aca="false">P24</f>
        <v>10</v>
      </c>
      <c r="Q28" s="54" t="n">
        <f aca="false">IF($AG$12&lt;0,0,IF($AE$12=0,"Review",(G28-H28+AD28)/(AC28*E28*((B32+C32)/2))/1000))</f>
        <v>0.00396593711603426</v>
      </c>
      <c r="R28" s="55" t="n">
        <f aca="false">IF(Q28="Review","",IF(ROUND(Q28,3)=0,"",(SQRT(SUMSQ((5),(100*1.4/(G28-H28)),(100*0.0005/Q28)))/100)*Q28))</f>
        <v>0.000556408121916648</v>
      </c>
      <c r="S28" s="38" t="n">
        <f aca="false">IF(Q28="Review","",IF(ROUND(Q28,3)=0,"",R28/Q28))</f>
        <v>0.140296758530813</v>
      </c>
      <c r="T28" s="39" t="n">
        <v>0.05</v>
      </c>
      <c r="U28" s="39" t="n">
        <f aca="false">(100*1.4)/(G28-H28)/100</f>
        <v>0.0358974358974359</v>
      </c>
      <c r="V28" s="39" t="n">
        <f aca="false">IF(E28&gt;0,0.0005/Q28,0.0005)</f>
        <v>0.126073607667278</v>
      </c>
      <c r="W28" s="39" t="n">
        <f aca="false">SQRT(T28*T28+U28*U28+V28*V28)</f>
        <v>0.140296758530813</v>
      </c>
      <c r="X28" s="89"/>
      <c r="Y28" s="2"/>
      <c r="Z28" s="2"/>
      <c r="AA28" s="2"/>
      <c r="AB28" s="47"/>
      <c r="AC28" s="41" t="n">
        <f aca="false">(0.5144+0.000314*((G28+H28)/2))*IF(M28="SST",12.5,1)</f>
        <v>8.8615375</v>
      </c>
      <c r="AD28" s="41" t="n">
        <f aca="false">(G28-H28)*0.03/E28</f>
        <v>0.571506105834464</v>
      </c>
      <c r="AE28" s="42" t="b">
        <f aca="false">AND(NOT(ISBLANK(C28)),NOT(ISBLANK(D28)),NOT(ISBLANK(G28)),NOT(ISBLANK(H28)),NOT(ISBLANK(N28)),NOT(ISBLANK(P28)),P28&gt;=0,N28&gt;=0,G28&gt;=0,H28&gt;=0,E28&gt;0)</f>
        <v>1</v>
      </c>
      <c r="AF28" s="43" t="s">
        <v>52</v>
      </c>
      <c r="AG28" s="56" t="n">
        <f aca="false">IF(AE28=0,"Review",(G28-H28+AD28)/(AC28*E28*((B32+C32)/2))/1000)</f>
        <v>0.00396593711603426</v>
      </c>
      <c r="AH28" s="45" t="n">
        <f aca="false">IF(OR(M28="SST",M28="LST",M28="LST-OO",M28="HST",M28="LMT-OO"),0.066667,0.022223)</f>
        <v>0.066667</v>
      </c>
      <c r="AI28" s="46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</row>
    <row r="29" customFormat="false" ht="14.65" hidden="false" customHeight="true" outlineLevel="0" collapsed="false">
      <c r="A29" s="85"/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49"/>
      <c r="Z29" s="49"/>
      <c r="AA29" s="49"/>
      <c r="AC29" s="49"/>
      <c r="AD29" s="49"/>
      <c r="AE29" s="49"/>
      <c r="AF29" s="49"/>
      <c r="AG29" s="49"/>
      <c r="AH29" s="49"/>
    </row>
    <row r="30" customFormat="false" ht="17" hidden="false" customHeight="true" outlineLevel="0" collapsed="false">
      <c r="A30" s="88"/>
      <c r="B30" s="57" t="s">
        <v>53</v>
      </c>
      <c r="C30" s="57"/>
      <c r="D30" s="58" t="s">
        <v>54</v>
      </c>
      <c r="E30" s="58" t="s">
        <v>55</v>
      </c>
      <c r="F30" s="91"/>
      <c r="G30" s="93" t="s">
        <v>69</v>
      </c>
      <c r="H30" s="93"/>
      <c r="I30" s="93"/>
      <c r="J30" s="93"/>
      <c r="K30" s="93"/>
      <c r="L30" s="93"/>
      <c r="M30" s="93"/>
      <c r="N30" s="93"/>
      <c r="O30" s="93"/>
      <c r="P30" s="93"/>
      <c r="Q30" s="94" t="n">
        <f aca="false">IF(OR(D16="",D32=""),"???",D32/D16)</f>
        <v>0.048450754666402</v>
      </c>
      <c r="R30" s="94"/>
      <c r="S30" s="91"/>
      <c r="T30" s="91"/>
      <c r="U30" s="91"/>
      <c r="V30" s="91"/>
      <c r="W30" s="91"/>
      <c r="X30" s="91"/>
    </row>
    <row r="31" customFormat="false" ht="17" hidden="false" customHeight="true" outlineLevel="0" collapsed="false">
      <c r="A31" s="88"/>
      <c r="B31" s="60" t="s">
        <v>9</v>
      </c>
      <c r="C31" s="60" t="s">
        <v>10</v>
      </c>
      <c r="D31" s="61" t="s">
        <v>47</v>
      </c>
      <c r="E31" s="61" t="s">
        <v>56</v>
      </c>
      <c r="F31" s="91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4"/>
      <c r="R31" s="94"/>
      <c r="S31" s="91"/>
      <c r="T31" s="91"/>
      <c r="U31" s="91"/>
      <c r="V31" s="91"/>
      <c r="W31" s="91"/>
      <c r="X31" s="91"/>
    </row>
    <row r="32" customFormat="false" ht="17" hidden="false" customHeight="true" outlineLevel="0" collapsed="false">
      <c r="A32" s="88"/>
      <c r="B32" s="62" t="n">
        <v>0.6</v>
      </c>
      <c r="C32" s="62" t="n">
        <v>0.5</v>
      </c>
      <c r="D32" s="63" t="n">
        <f aca="false">IF(OR(Q24="Review",Q28="Review"),"",IF(Q28-AB24&lt;0,0,Q28-AB24))</f>
        <v>0.00103600934639149</v>
      </c>
      <c r="E32" s="64" t="n">
        <f aca="false">IF(OR(Q24="Review",Q28="Review"),"",IF(OR(Q24=0,Q28=0),"",IF($F$3="US",(D32*100)/Q24*100,(D32*100)/(Q24/37)*100)))</f>
        <v>1.73920159681354</v>
      </c>
      <c r="F32" s="91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4"/>
      <c r="R32" s="94"/>
      <c r="S32" s="91"/>
      <c r="T32" s="91"/>
      <c r="U32" s="91"/>
      <c r="V32" s="91"/>
      <c r="W32" s="91"/>
      <c r="X32" s="91"/>
    </row>
    <row r="33" customFormat="false" ht="14.65" hidden="false" customHeight="true" outlineLevel="0" collapsed="false">
      <c r="A33" s="88"/>
      <c r="B33" s="62"/>
      <c r="C33" s="62"/>
      <c r="D33" s="63"/>
      <c r="E33" s="63"/>
      <c r="F33" s="91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4"/>
      <c r="R33" s="94"/>
      <c r="S33" s="91"/>
      <c r="T33" s="91"/>
      <c r="U33" s="91"/>
      <c r="V33" s="91"/>
      <c r="W33" s="91"/>
      <c r="X33" s="91"/>
    </row>
    <row r="34" customFormat="false" ht="14.65" hidden="false" customHeight="true" outlineLevel="0" collapsed="false">
      <c r="A34" s="85"/>
      <c r="B34" s="95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</row>
    <row r="35" customFormat="false" ht="14.65" hidden="false" customHeight="true" outlineLevel="0" collapsed="false"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</row>
    <row r="1048575" customFormat="false" ht="12.8" hidden="false" customHeight="true" outlineLevel="0" collapsed="false"/>
    <row r="1048576" customFormat="false" ht="12.8" hidden="false" customHeight="true" outlineLevel="0" collapsed="false"/>
  </sheetData>
  <sheetProtection sheet="true" password="9ea1" objects="true" scenarios="true" selectLockedCells="true"/>
  <mergeCells count="32">
    <mergeCell ref="B5:S5"/>
    <mergeCell ref="I6:K6"/>
    <mergeCell ref="N6:O6"/>
    <mergeCell ref="S6:S7"/>
    <mergeCell ref="AB6:AD6"/>
    <mergeCell ref="I10:K10"/>
    <mergeCell ref="N10:O10"/>
    <mergeCell ref="S10:S11"/>
    <mergeCell ref="AC10:AD10"/>
    <mergeCell ref="B14:C14"/>
    <mergeCell ref="G14:P17"/>
    <mergeCell ref="Q14:R17"/>
    <mergeCell ref="B16:B17"/>
    <mergeCell ref="C16:C17"/>
    <mergeCell ref="D16:D17"/>
    <mergeCell ref="E16:E17"/>
    <mergeCell ref="B21:S21"/>
    <mergeCell ref="I22:K22"/>
    <mergeCell ref="N22:O22"/>
    <mergeCell ref="S22:S23"/>
    <mergeCell ref="AB22:AD22"/>
    <mergeCell ref="I26:K26"/>
    <mergeCell ref="N26:O26"/>
    <mergeCell ref="S26:S27"/>
    <mergeCell ref="AC26:AD26"/>
    <mergeCell ref="B30:C30"/>
    <mergeCell ref="G30:P33"/>
    <mergeCell ref="Q30:R33"/>
    <mergeCell ref="B32:B33"/>
    <mergeCell ref="C32:C33"/>
    <mergeCell ref="D32:D33"/>
    <mergeCell ref="E32:E33"/>
  </mergeCells>
  <dataValidations count="3">
    <dataValidation allowBlank="false" error="You must select either US or SI as your measurement units." errorStyle="stop" errorTitle="Measurement Units" operator="equal" prompt="Please remember to double-check your values (Elevation, Gamma, Volumes, and Sample Temperatures) when converting between US and SI units." promptTitle="US/SI Units" showDropDown="false" showErrorMessage="true" showInputMessage="true" sqref="F3" type="list">
      <formula1>"US,SI"</formula1>
      <formula2>0</formula2>
    </dataValidation>
    <dataValidation allowBlank="true" errorStyle="stop" operator="equal" prompt="This is the Greek letter, gamma. Enter your background in the blue background cells below." promptTitle="Gamma" showDropDown="false" showErrorMessage="true" showInputMessage="true" sqref="P6 P10:Q10 P22 P26:Q26" type="none">
      <formula1>0</formula1>
      <formula2>0</formula2>
    </dataValidation>
    <dataValidation allowBlank="false" error="You must enter a valid electret ion chamber configuration from the list." errorStyle="stop" errorTitle="EIC Config" operator="equal" showDropDown="false" showErrorMessage="true" showInputMessage="false" sqref="M8 M12 M24 M28" type="list">
      <formula1>"SST,SLT"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485</TotalTime>
  <Application>LibreOffice/7.5.5.2$Windows_X86_64 LibreOffice_project/ca8fe7424262805f223b9a2334bc7181abbcbf5e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2017-01-11T14:25:37Z</dcterms:created>
  <dc:creator>Payasada Kotrappa</dc:creator>
  <dc:description/>
  <dc:language>en-US</dc:language>
  <cp:lastModifiedBy/>
  <cp:lastPrinted>2017-01-31T11:01:40Z</cp:lastPrinted>
  <dcterms:modified xsi:type="dcterms:W3CDTF">2023-08-15T13:03:43Z</dcterms:modified>
  <cp:revision>64</cp:revision>
  <dc:subject>E-RPISU Radon Progeny</dc:subject>
  <dc:title>Rad Elec E-RPISU Spreadsheet</dc:title>
</cp:coreProperties>
</file>