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H2O Template" sheetId="1" state="visible" r:id="rId2"/>
  </sheets>
  <calcPr iterateCount="100" refMode="A1" iterate="false" iterateDelta="0.0001"/>
  <extLst>
    <ext xmlns:loext="http://schemas.libreoffice.org/" uri="{7626C862-2A13-11E5-B345-FEFF819CDC9F}">
      <loext:extCalcPr stringRefSyntax="CalcA1"/>
    </ext>
  </extLst>
</workbook>
</file>

<file path=xl/sharedStrings.xml><?xml version="1.0" encoding="utf-8"?>
<sst xmlns="http://schemas.openxmlformats.org/spreadsheetml/2006/main" count="86" uniqueCount="80">
  <si>
    <t xml:space="preserve">Radon in Water Spreadsheet</t>
  </si>
  <si>
    <t xml:space="preserve">V4.7</t>
  </si>
  <si>
    <t xml:space="preserve">30 Sep 2020</t>
  </si>
  <si>
    <t xml:space="preserve">(data entry only in blue background fields)</t>
  </si>
  <si>
    <t xml:space="preserve">US/SI Units</t>
  </si>
  <si>
    <t xml:space="preserve">US</t>
  </si>
  <si>
    <t xml:space="preserve">Use 115% CF?</t>
  </si>
  <si>
    <t xml:space="preserve">Yes</t>
  </si>
  <si>
    <t xml:space="preserve">Electret</t>
  </si>
  <si>
    <t xml:space="preserve">Sample Collection</t>
  </si>
  <si>
    <t xml:space="preserve">Start</t>
  </si>
  <si>
    <t xml:space="preserve">End</t>
  </si>
  <si>
    <t xml:space="preserve">Total Days</t>
  </si>
  <si>
    <t xml:space="preserve">Initial</t>
  </si>
  <si>
    <t xml:space="preserve">Final</t>
  </si>
  <si>
    <t xml:space="preserve">EIC Configuration Constants</t>
  </si>
  <si>
    <t xml:space="preserve">EIC</t>
  </si>
  <si>
    <t xml:space="preserve">Elevation</t>
  </si>
  <si>
    <t xml:space="preserve">γ</t>
  </si>
  <si>
    <t xml:space="preserve">Sample</t>
  </si>
  <si>
    <t xml:space="preserve">Corrected</t>
  </si>
  <si>
    <t xml:space="preserve">Temperature</t>
  </si>
  <si>
    <t xml:space="preserve">Ostwald</t>
  </si>
  <si>
    <t xml:space="preserve">Radon in Air</t>
  </si>
  <si>
    <t xml:space="preserve">k1</t>
  </si>
  <si>
    <t xml:space="preserve">k2</t>
  </si>
  <si>
    <t xml:space="preserve">k3</t>
  </si>
  <si>
    <t xml:space="preserve">k4</t>
  </si>
  <si>
    <t xml:space="preserve">k5</t>
  </si>
  <si>
    <t xml:space="preserve">k6</t>
  </si>
  <si>
    <t xml:space="preserve">k7</t>
  </si>
  <si>
    <t xml:space="preserve">CF</t>
  </si>
  <si>
    <t xml:space="preserve">Radon in Water</t>
  </si>
  <si>
    <t xml:space="preserve">±</t>
  </si>
  <si>
    <t xml:space="preserve">%</t>
  </si>
  <si>
    <t xml:space="preserve">Error 1</t>
  </si>
  <si>
    <t xml:space="preserve">Error 2</t>
  </si>
  <si>
    <t xml:space="preserve">Error 3</t>
  </si>
  <si>
    <t xml:space="preserve">Total Error</t>
  </si>
  <si>
    <t xml:space="preserve">Serial</t>
  </si>
  <si>
    <t xml:space="preserve">Date/Time</t>
  </si>
  <si>
    <t xml:space="preserve">Delay</t>
  </si>
  <si>
    <t xml:space="preserve">Exposure</t>
  </si>
  <si>
    <t xml:space="preserve">Voltage</t>
  </si>
  <si>
    <t xml:space="preserve">A</t>
  </si>
  <si>
    <t xml:space="preserve">B</t>
  </si>
  <si>
    <t xml:space="preserve">G</t>
  </si>
  <si>
    <t xml:space="preserve">Volume (L)</t>
  </si>
  <si>
    <t xml:space="preserve">Config</t>
  </si>
  <si>
    <t xml:space="preserve">Volume</t>
  </si>
  <si>
    <t xml:space="preserve">Air</t>
  </si>
  <si>
    <t xml:space="preserve">Water</t>
  </si>
  <si>
    <t xml:space="preserve">Misc.</t>
  </si>
  <si>
    <t xml:space="preserve">Air Volume</t>
  </si>
  <si>
    <t xml:space="preserve">Coefficient</t>
  </si>
  <si>
    <t xml:space="preserve">k</t>
  </si>
  <si>
    <t xml:space="preserve">kT</t>
  </si>
  <si>
    <t xml:space="preserve">AvC(Rn)A*kT</t>
  </si>
  <si>
    <t xml:space="preserve">VA/VW+L</t>
  </si>
  <si>
    <t xml:space="preserve">k1*k2</t>
  </si>
  <si>
    <t xml:space="preserve">exp(-kD)</t>
  </si>
  <si>
    <t xml:space="preserve">1-exp(-kT)</t>
  </si>
  <si>
    <t xml:space="preserve">k4*k5</t>
  </si>
  <si>
    <t xml:space="preserve">k3/k6</t>
  </si>
  <si>
    <t xml:space="preserve">k7*1.15</t>
  </si>
  <si>
    <t xml:space="preserve">Error</t>
  </si>
  <si>
    <t xml:space="preserve">(System)</t>
  </si>
  <si>
    <t xml:space="preserve">(Reading)</t>
  </si>
  <si>
    <t xml:space="preserve">(Gamma)</t>
  </si>
  <si>
    <t xml:space="preserve">Confirmation</t>
  </si>
  <si>
    <t xml:space="preserve">SAA001</t>
  </si>
  <si>
    <t xml:space="preserve">SST</t>
  </si>
  <si>
    <t xml:space="preserve">Small</t>
  </si>
  <si>
    <t xml:space="preserve">SAA002</t>
  </si>
  <si>
    <t xml:space="preserve">SLT</t>
  </si>
  <si>
    <t xml:space="preserve">Large</t>
  </si>
  <si>
    <t xml:space="preserve">Standardized Rad Elec Water Sample Bottles are two sizes: a small bottle (~66 mL) and a large bottle (~123 mL). Select the proper size by using the dropdown options in column R.</t>
  </si>
  <si>
    <t xml:space="preserve">Column T (Misc.) is intended to represent additional surface volumes to be subtracted, and is used to calculate the Corrected Air Volume in Column U. If using the standardized sample bottles, this value will be calculated automatically to represent the physical volume of the sample bottles.</t>
  </si>
  <si>
    <t xml:space="preserve">Total surface volume of SST is ~224 mL (~210 mL for S-Chamber, additional ~14 mL for electret). This is automatically subtracted, and does not need to be added to the Misc. column (Column T).</t>
  </si>
  <si>
    <t xml:space="preserve">The corrected air volume should be 3.7213 L for the small sample bottle, and 3.6430 L for the large sample bottle. Corrected air volume can be custom modified by user by changing air/water/misc volumes in columns S, T, and/or U.</t>
  </si>
</sst>
</file>

<file path=xl/styles.xml><?xml version="1.0" encoding="utf-8"?>
<styleSheet xmlns="http://schemas.openxmlformats.org/spreadsheetml/2006/main">
  <numFmts count="10">
    <numFmt numFmtId="164" formatCode="General"/>
    <numFmt numFmtId="165" formatCode="General"/>
    <numFmt numFmtId="166" formatCode="m/d/yyyy\ h:mm"/>
    <numFmt numFmtId="167" formatCode="yyyy\-mm\-dd\ hh:mm"/>
    <numFmt numFmtId="168" formatCode="0.00"/>
    <numFmt numFmtId="169" formatCode="0.000000"/>
    <numFmt numFmtId="170" formatCode="0.0"/>
    <numFmt numFmtId="171" formatCode="0.000"/>
    <numFmt numFmtId="172" formatCode="0.0000"/>
    <numFmt numFmtId="173" formatCode="0.00%"/>
  </numFmts>
  <fonts count="12">
    <font>
      <sz val="10"/>
      <name val="Arial"/>
      <family val="2"/>
    </font>
    <font>
      <sz val="10"/>
      <name val="Arial"/>
      <family val="0"/>
    </font>
    <font>
      <sz val="10"/>
      <name val="Arial"/>
      <family val="0"/>
    </font>
    <font>
      <sz val="10"/>
      <name val="Arial"/>
      <family val="0"/>
    </font>
    <font>
      <sz val="28"/>
      <name val="Arial"/>
      <family val="2"/>
    </font>
    <font>
      <sz val="20"/>
      <name val="Arial"/>
      <family val="2"/>
    </font>
    <font>
      <sz val="18"/>
      <name val="Arial"/>
      <family val="2"/>
    </font>
    <font>
      <b val="true"/>
      <sz val="12"/>
      <name val="Arial"/>
      <family val="2"/>
    </font>
    <font>
      <b val="true"/>
      <sz val="16"/>
      <name val="Arial"/>
      <family val="2"/>
    </font>
    <font>
      <sz val="12"/>
      <name val="Arial"/>
      <family val="2"/>
    </font>
    <font>
      <sz val="12"/>
      <color rgb="FF000000"/>
      <name val="Arial"/>
      <family val="2"/>
    </font>
    <font>
      <b val="true"/>
      <sz val="10"/>
      <name val="Arial"/>
      <family val="2"/>
    </font>
  </fonts>
  <fills count="6">
    <fill>
      <patternFill patternType="none"/>
    </fill>
    <fill>
      <patternFill patternType="gray125"/>
    </fill>
    <fill>
      <patternFill patternType="solid">
        <fgColor rgb="FFFFFFFF"/>
        <bgColor rgb="FFFFFFCC"/>
      </patternFill>
    </fill>
    <fill>
      <patternFill patternType="solid">
        <fgColor rgb="FFFFFF99"/>
        <bgColor rgb="FFFFFFCC"/>
      </patternFill>
    </fill>
    <fill>
      <patternFill patternType="solid">
        <fgColor rgb="FF00FFFF"/>
        <bgColor rgb="FF00FFFF"/>
      </patternFill>
    </fill>
    <fill>
      <patternFill patternType="solid">
        <fgColor rgb="FF66FFFF"/>
        <bgColor rgb="FF33CCCC"/>
      </patternFill>
    </fill>
  </fills>
  <borders count="12">
    <border diagonalUp="false" diagonalDown="false">
      <left/>
      <right/>
      <top/>
      <bottom/>
      <diagonal/>
    </border>
    <border diagonalUp="false" diagonalDown="false">
      <left style="thin"/>
      <right style="thin"/>
      <top style="thin"/>
      <bottom/>
      <diagonal/>
    </border>
    <border diagonalUp="false" diagonalDown="false">
      <left/>
      <right style="thin"/>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style="thin"/>
      <right style="thin"/>
      <top/>
      <bottom style="thin"/>
      <diagonal/>
    </border>
    <border diagonalUp="false" diagonalDown="false">
      <left style="thin"/>
      <right/>
      <top/>
      <bottom style="thin"/>
      <diagonal/>
    </border>
    <border diagonalUp="false" diagonalDown="false">
      <left/>
      <right style="thin"/>
      <top/>
      <bottom style="thin"/>
      <diagonal/>
    </border>
    <border diagonalUp="false" diagonalDown="false">
      <left/>
      <right/>
      <top/>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4" fillId="2" borderId="0" xfId="0" applyFont="true" applyBorder="false" applyAlignment="true" applyProtection="false">
      <alignment horizontal="left" vertical="bottom" textRotation="0" wrapText="false" indent="0" shrinkToFit="false"/>
      <protection locked="true" hidden="false"/>
    </xf>
    <xf numFmtId="164" fontId="0" fillId="2" borderId="0" xfId="0" applyFont="false" applyBorder="false" applyAlignment="true" applyProtection="false">
      <alignment horizontal="center" vertical="bottom" textRotation="0" wrapText="false" indent="0" shrinkToFit="false"/>
      <protection locked="true" hidden="false"/>
    </xf>
    <xf numFmtId="164" fontId="0" fillId="2" borderId="0" xfId="0" applyFont="true" applyBorder="false" applyAlignment="true" applyProtection="false">
      <alignment horizontal="center" vertical="center" textRotation="0" wrapText="false" indent="0" shrinkToFit="false"/>
      <protection locked="true" hidden="false"/>
    </xf>
    <xf numFmtId="164" fontId="0" fillId="2" borderId="0" xfId="0" applyFont="true" applyBorder="false" applyAlignment="true" applyProtection="false">
      <alignment horizontal="left" vertical="center" textRotation="0" wrapText="false" indent="0" shrinkToFit="false"/>
      <protection locked="true" hidden="false"/>
    </xf>
    <xf numFmtId="164" fontId="5" fillId="2" borderId="0" xfId="0" applyFont="true" applyBorder="false" applyAlignment="true" applyProtection="false">
      <alignment horizontal="left" vertical="bottom" textRotation="0" wrapText="false" indent="0" shrinkToFit="false"/>
      <protection locked="true" hidden="false"/>
    </xf>
    <xf numFmtId="164" fontId="0" fillId="2" borderId="0" xfId="0" applyFont="false" applyBorder="false" applyAlignment="true" applyProtection="false">
      <alignment horizontal="left" vertical="bottom" textRotation="0" wrapText="false" indent="0" shrinkToFit="false"/>
      <protection locked="true" hidden="false"/>
    </xf>
    <xf numFmtId="164" fontId="6" fillId="2" borderId="0" xfId="0" applyFont="true" applyBorder="false" applyAlignment="false" applyProtection="false">
      <alignment horizontal="general" vertical="bottom" textRotation="0" wrapText="false" indent="0" shrinkToFit="false"/>
      <protection locked="true" hidden="false"/>
    </xf>
    <xf numFmtId="164" fontId="7" fillId="3" borderId="1" xfId="0" applyFont="true" applyBorder="true" applyAlignment="true" applyProtection="false">
      <alignment horizontal="center" vertical="center" textRotation="0" wrapText="false" indent="0" shrinkToFit="false"/>
      <protection locked="true" hidden="false"/>
    </xf>
    <xf numFmtId="164" fontId="8" fillId="4" borderId="2" xfId="0" applyFont="true" applyBorder="true" applyAlignment="true" applyProtection="true">
      <alignment horizontal="center" vertical="center" textRotation="0" wrapText="false" indent="0" shrinkToFit="false"/>
      <protection locked="false" hidden="false"/>
    </xf>
    <xf numFmtId="164" fontId="0" fillId="3" borderId="1" xfId="0" applyFont="true" applyBorder="true" applyAlignment="true" applyProtection="false">
      <alignment horizontal="center" vertical="bottom" textRotation="0" wrapText="false" indent="0" shrinkToFit="false"/>
      <protection locked="true" hidden="false"/>
    </xf>
    <xf numFmtId="164" fontId="0" fillId="3" borderId="3" xfId="0" applyFont="true" applyBorder="true" applyAlignment="true" applyProtection="false">
      <alignment horizontal="center" vertical="bottom" textRotation="0" wrapText="false" indent="0" shrinkToFit="false"/>
      <protection locked="true" hidden="false"/>
    </xf>
    <xf numFmtId="165" fontId="0" fillId="3" borderId="4" xfId="0" applyFont="true" applyBorder="true" applyAlignment="true" applyProtection="false">
      <alignment horizontal="center" vertical="bottom" textRotation="0" wrapText="false" indent="0" shrinkToFit="false"/>
      <protection locked="true" hidden="false"/>
    </xf>
    <xf numFmtId="164" fontId="0" fillId="3" borderId="4" xfId="0" applyFont="true" applyBorder="true" applyAlignment="true" applyProtection="false">
      <alignment horizontal="center" vertical="bottom" textRotation="0" wrapText="false" indent="0" shrinkToFit="false"/>
      <protection locked="true" hidden="false"/>
    </xf>
    <xf numFmtId="164" fontId="0" fillId="3" borderId="5" xfId="0" applyFont="true" applyBorder="true" applyAlignment="true" applyProtection="false">
      <alignment horizontal="center" vertical="bottom" textRotation="0" wrapText="false" indent="0" shrinkToFit="false"/>
      <protection locked="true" hidden="false"/>
    </xf>
    <xf numFmtId="164" fontId="0" fillId="2" borderId="6" xfId="0" applyFont="false" applyBorder="true" applyAlignment="false" applyProtection="false">
      <alignment horizontal="general" vertical="bottom" textRotation="0" wrapText="false" indent="0" shrinkToFit="false"/>
      <protection locked="true" hidden="false"/>
    </xf>
    <xf numFmtId="164" fontId="0" fillId="3" borderId="7" xfId="0" applyFont="true" applyBorder="true" applyAlignment="true" applyProtection="false">
      <alignment horizontal="center" vertical="bottom" textRotation="0" wrapText="false" indent="0" shrinkToFit="false"/>
      <protection locked="true" hidden="false"/>
    </xf>
    <xf numFmtId="164" fontId="0" fillId="3" borderId="8" xfId="0" applyFont="true" applyBorder="true" applyAlignment="true" applyProtection="false">
      <alignment horizontal="center" vertical="bottom" textRotation="0" wrapText="false" indent="0" shrinkToFit="false"/>
      <protection locked="true" hidden="false"/>
    </xf>
    <xf numFmtId="164" fontId="0" fillId="3" borderId="9" xfId="0" applyFont="true" applyBorder="true" applyAlignment="true" applyProtection="false">
      <alignment horizontal="center" vertical="bottom" textRotation="0" wrapText="false" indent="0" shrinkToFit="false"/>
      <protection locked="true" hidden="false"/>
    </xf>
    <xf numFmtId="164" fontId="0" fillId="3" borderId="10" xfId="0" applyFont="true" applyBorder="true" applyAlignment="true" applyProtection="false">
      <alignment horizontal="center" vertical="bottom" textRotation="0" wrapText="false" indent="0" shrinkToFit="false"/>
      <protection locked="true" hidden="false"/>
    </xf>
    <xf numFmtId="166" fontId="9" fillId="5" borderId="11" xfId="0" applyFont="true" applyBorder="true" applyAlignment="true" applyProtection="true">
      <alignment horizontal="center" vertical="center" textRotation="0" wrapText="false" indent="0" shrinkToFit="false"/>
      <protection locked="false" hidden="false"/>
    </xf>
    <xf numFmtId="167" fontId="9" fillId="5" borderId="11" xfId="0" applyFont="true" applyBorder="true" applyAlignment="true" applyProtection="true">
      <alignment horizontal="center" vertical="center" textRotation="0" wrapText="false" indent="0" shrinkToFit="false"/>
      <protection locked="false" hidden="false"/>
    </xf>
    <xf numFmtId="168" fontId="9" fillId="3" borderId="11" xfId="0" applyFont="true" applyBorder="true" applyAlignment="true" applyProtection="true">
      <alignment horizontal="center" vertical="center" textRotation="0" wrapText="false" indent="0" shrinkToFit="false"/>
      <protection locked="true" hidden="false"/>
    </xf>
    <xf numFmtId="164" fontId="10" fillId="5" borderId="11" xfId="0" applyFont="true" applyBorder="true" applyAlignment="true" applyProtection="true">
      <alignment horizontal="center" vertical="center" textRotation="0" wrapText="false" indent="0" shrinkToFit="false"/>
      <protection locked="false" hidden="false"/>
    </xf>
    <xf numFmtId="164" fontId="9" fillId="5" borderId="11" xfId="0" applyFont="true" applyBorder="true" applyAlignment="true" applyProtection="true">
      <alignment horizontal="center" vertical="center" textRotation="0" wrapText="false" indent="0" shrinkToFit="false"/>
      <protection locked="false" hidden="false"/>
    </xf>
    <xf numFmtId="169" fontId="9" fillId="3" borderId="11" xfId="0" applyFont="true" applyBorder="true" applyAlignment="true" applyProtection="false">
      <alignment horizontal="center" vertical="center" textRotation="0" wrapText="false" indent="0" shrinkToFit="false"/>
      <protection locked="true" hidden="false"/>
    </xf>
    <xf numFmtId="164" fontId="9" fillId="3" borderId="11" xfId="0" applyFont="true" applyBorder="true" applyAlignment="true" applyProtection="false">
      <alignment horizontal="center" vertical="center" textRotation="0" wrapText="false" indent="0" shrinkToFit="false"/>
      <protection locked="true" hidden="false"/>
    </xf>
    <xf numFmtId="164" fontId="9" fillId="4" borderId="11" xfId="0" applyFont="true" applyBorder="true" applyAlignment="true" applyProtection="true">
      <alignment horizontal="center" vertical="center" textRotation="0" wrapText="false" indent="0" shrinkToFit="false"/>
      <protection locked="false" hidden="false"/>
    </xf>
    <xf numFmtId="168" fontId="9" fillId="3" borderId="11" xfId="0" applyFont="true" applyBorder="true" applyAlignment="true" applyProtection="false">
      <alignment horizontal="center" vertical="center" textRotation="0" wrapText="false" indent="0" shrinkToFit="false"/>
      <protection locked="true" hidden="false"/>
    </xf>
    <xf numFmtId="170" fontId="9" fillId="5" borderId="11" xfId="0" applyFont="true" applyBorder="true" applyAlignment="true" applyProtection="true">
      <alignment horizontal="center" vertical="center" textRotation="0" wrapText="false" indent="0" shrinkToFit="false"/>
      <protection locked="false" hidden="false"/>
    </xf>
    <xf numFmtId="171" fontId="9" fillId="5" borderId="11" xfId="0" applyFont="true" applyBorder="true" applyAlignment="true" applyProtection="true">
      <alignment horizontal="center" vertical="center" textRotation="0" wrapText="false" indent="0" shrinkToFit="false"/>
      <protection locked="false" hidden="false"/>
    </xf>
    <xf numFmtId="172" fontId="9" fillId="3" borderId="11" xfId="0" applyFont="true" applyBorder="true" applyAlignment="true" applyProtection="true">
      <alignment horizontal="center" vertical="center" textRotation="0" wrapText="false" indent="0" shrinkToFit="false"/>
      <protection locked="true" hidden="false"/>
    </xf>
    <xf numFmtId="170" fontId="9" fillId="3" borderId="11" xfId="0" applyFont="true" applyBorder="true" applyAlignment="true" applyProtection="true">
      <alignment horizontal="center" vertical="center" textRotation="0" wrapText="false" indent="0" shrinkToFit="false"/>
      <protection locked="true" hidden="false"/>
    </xf>
    <xf numFmtId="170" fontId="7" fillId="3" borderId="11" xfId="0" applyFont="true" applyBorder="true" applyAlignment="true" applyProtection="true">
      <alignment horizontal="center" vertical="center" textRotation="0" wrapText="false" indent="0" shrinkToFit="false"/>
      <protection locked="true" hidden="false"/>
    </xf>
    <xf numFmtId="164" fontId="9" fillId="3" borderId="11" xfId="0" applyFont="true" applyBorder="true" applyAlignment="true" applyProtection="true">
      <alignment horizontal="center" vertical="center" textRotation="0" wrapText="false" indent="0" shrinkToFit="false"/>
      <protection locked="true" hidden="false"/>
    </xf>
    <xf numFmtId="173" fontId="7" fillId="3" borderId="11" xfId="0" applyFont="true" applyBorder="true" applyAlignment="true" applyProtection="true">
      <alignment horizontal="center" vertical="center" textRotation="0" wrapText="false" indent="0" shrinkToFit="false"/>
      <protection locked="true" hidden="false"/>
    </xf>
    <xf numFmtId="164" fontId="9" fillId="2" borderId="6" xfId="0" applyFont="true" applyBorder="true" applyAlignment="true" applyProtection="false">
      <alignment horizontal="center" vertical="center" textRotation="0" wrapText="false" indent="0" shrinkToFit="false"/>
      <protection locked="true" hidden="false"/>
    </xf>
    <xf numFmtId="164" fontId="9" fillId="2" borderId="0" xfId="0" applyFont="true" applyBorder="false" applyAlignment="true" applyProtection="false">
      <alignment horizontal="center" vertical="center" textRotation="0" wrapText="false" indent="0" shrinkToFit="false"/>
      <protection locked="true" hidden="false"/>
    </xf>
    <xf numFmtId="165" fontId="11" fillId="2" borderId="0" xfId="0" applyFont="true" applyBorder="false" applyAlignment="false" applyProtection="false">
      <alignment horizontal="general" vertical="bottom" textRotation="0" wrapText="false" indent="0" shrinkToFit="false"/>
      <protection locked="true" hidden="false"/>
    </xf>
    <xf numFmtId="164" fontId="11" fillId="2" borderId="0" xfId="0" applyFont="true" applyBorder="fals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66FF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MJ14"/>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A6" activeCellId="0" sqref="A6"/>
    </sheetView>
  </sheetViews>
  <sheetFormatPr defaultColWidth="11.30078125" defaultRowHeight="12.8" zeroHeight="false" outlineLevelRow="0" outlineLevelCol="0"/>
  <cols>
    <col collapsed="false" customWidth="true" hidden="false" outlineLevel="0" max="1" min="1" style="1" width="10.99"/>
    <col collapsed="false" customWidth="true" hidden="false" outlineLevel="0" max="4" min="2" style="1" width="20.71"/>
    <col collapsed="false" customWidth="true" hidden="false" outlineLevel="0" max="5" min="5" style="1" width="7.57"/>
    <col collapsed="false" customWidth="true" hidden="false" outlineLevel="0" max="8" min="6" style="1" width="8.71"/>
    <col collapsed="false" customWidth="true" hidden="true" outlineLevel="0" max="12" min="9" style="1" width="11.52"/>
    <col collapsed="false" customWidth="true" hidden="false" outlineLevel="0" max="13" min="13" style="1" width="10.85"/>
    <col collapsed="false" customWidth="true" hidden="false" outlineLevel="0" max="15" min="14" style="1" width="8.71"/>
    <col collapsed="false" customWidth="true" hidden="false" outlineLevel="0" max="17" min="16" style="1" width="7.57"/>
    <col collapsed="false" customWidth="true" hidden="false" outlineLevel="0" max="19" min="18" style="1" width="10"/>
    <col collapsed="false" customWidth="true" hidden="false" outlineLevel="0" max="20" min="20" style="1" width="10.99"/>
    <col collapsed="false" customWidth="true" hidden="false" outlineLevel="0" max="22" min="21" style="1" width="13.29"/>
    <col collapsed="false" customWidth="true" hidden="false" outlineLevel="0" max="24" min="23" style="1" width="6.42"/>
    <col collapsed="false" customWidth="false" hidden="false" outlineLevel="0" max="25" min="25" style="1" width="11.29"/>
    <col collapsed="false" customWidth="true" hidden="true" outlineLevel="0" max="36" min="26" style="1" width="11.52"/>
    <col collapsed="false" customWidth="true" hidden="false" outlineLevel="0" max="37" min="37" style="1" width="15.42"/>
    <col collapsed="false" customWidth="false" hidden="false" outlineLevel="0" max="39" min="38" style="1" width="11.29"/>
    <col collapsed="false" customWidth="true" hidden="true" outlineLevel="0" max="43" min="40" style="1" width="11.52"/>
    <col collapsed="false" customWidth="false" hidden="false" outlineLevel="0" max="1023" min="44" style="1" width="11.29"/>
    <col collapsed="false" customWidth="true" hidden="false" outlineLevel="0" max="1024" min="1024" style="0" width="11.52"/>
  </cols>
  <sheetData>
    <row r="1" customFormat="false" ht="34.7" hidden="false" customHeight="true" outlineLevel="0" collapsed="false">
      <c r="A1" s="2" t="s">
        <v>0</v>
      </c>
      <c r="B1" s="3"/>
      <c r="C1" s="3"/>
      <c r="D1" s="3"/>
      <c r="E1" s="3"/>
      <c r="F1" s="3"/>
      <c r="G1" s="3"/>
      <c r="H1" s="3"/>
      <c r="I1" s="3"/>
      <c r="J1" s="3"/>
      <c r="K1" s="3"/>
      <c r="L1" s="3"/>
      <c r="M1" s="3"/>
      <c r="N1" s="3"/>
      <c r="O1" s="3"/>
      <c r="P1" s="3"/>
      <c r="Q1" s="3"/>
      <c r="R1" s="3"/>
      <c r="S1" s="3"/>
      <c r="T1" s="3"/>
      <c r="U1" s="3"/>
      <c r="V1" s="3"/>
      <c r="W1" s="3"/>
      <c r="X1" s="3"/>
      <c r="Y1" s="3"/>
      <c r="Z1" s="3"/>
      <c r="AA1" s="2"/>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row>
    <row r="2" customFormat="false" ht="24.45" hidden="false" customHeight="false" outlineLevel="0" collapsed="false">
      <c r="A2" s="4" t="s">
        <v>1</v>
      </c>
      <c r="B2" s="5" t="s">
        <v>2</v>
      </c>
      <c r="C2" s="6"/>
      <c r="D2" s="3"/>
      <c r="E2" s="3"/>
      <c r="F2" s="3"/>
      <c r="G2" s="3"/>
      <c r="H2" s="3"/>
      <c r="I2" s="3"/>
      <c r="J2" s="3"/>
      <c r="K2" s="3"/>
      <c r="L2" s="3"/>
      <c r="M2" s="3"/>
      <c r="N2" s="3"/>
      <c r="O2" s="3"/>
      <c r="P2" s="3"/>
      <c r="Q2" s="3"/>
      <c r="R2" s="3"/>
      <c r="S2" s="7"/>
    </row>
    <row r="3" customFormat="false" ht="27.75" hidden="false" customHeight="true" outlineLevel="0" collapsed="false">
      <c r="A3" s="8" t="s">
        <v>3</v>
      </c>
      <c r="D3" s="3"/>
      <c r="E3" s="9" t="s">
        <v>4</v>
      </c>
      <c r="F3" s="9"/>
      <c r="G3" s="10" t="s">
        <v>5</v>
      </c>
      <c r="M3" s="9" t="s">
        <v>6</v>
      </c>
      <c r="N3" s="9"/>
      <c r="O3" s="10" t="s">
        <v>7</v>
      </c>
    </row>
    <row r="4" customFormat="false" ht="12.8" hidden="false" customHeight="false" outlineLevel="0" collapsed="false">
      <c r="A4" s="11" t="s">
        <v>8</v>
      </c>
      <c r="B4" s="11" t="s">
        <v>9</v>
      </c>
      <c r="C4" s="11" t="s">
        <v>10</v>
      </c>
      <c r="D4" s="11" t="s">
        <v>11</v>
      </c>
      <c r="E4" s="11" t="s">
        <v>12</v>
      </c>
      <c r="F4" s="11"/>
      <c r="G4" s="11" t="s">
        <v>13</v>
      </c>
      <c r="H4" s="11" t="s">
        <v>14</v>
      </c>
      <c r="I4" s="12" t="s">
        <v>15</v>
      </c>
      <c r="J4" s="12"/>
      <c r="K4" s="12"/>
      <c r="L4" s="12"/>
      <c r="M4" s="11" t="s">
        <v>16</v>
      </c>
      <c r="N4" s="11" t="s">
        <v>16</v>
      </c>
      <c r="O4" s="12" t="s">
        <v>17</v>
      </c>
      <c r="P4" s="12"/>
      <c r="Q4" s="11" t="s">
        <v>18</v>
      </c>
      <c r="R4" s="11" t="s">
        <v>19</v>
      </c>
      <c r="S4" s="13" t="str">
        <f aca="false">IF($G$3="US","Volume (L)","Volume (L)")</f>
        <v>Volume (L)</v>
      </c>
      <c r="T4" s="13"/>
      <c r="U4" s="13"/>
      <c r="V4" s="12" t="s">
        <v>20</v>
      </c>
      <c r="W4" s="11" t="s">
        <v>21</v>
      </c>
      <c r="X4" s="11"/>
      <c r="Y4" s="11" t="s">
        <v>22</v>
      </c>
      <c r="Z4" s="11" t="s">
        <v>23</v>
      </c>
      <c r="AA4" s="11"/>
      <c r="AB4" s="11"/>
      <c r="AC4" s="14" t="s">
        <v>24</v>
      </c>
      <c r="AD4" s="14" t="s">
        <v>25</v>
      </c>
      <c r="AE4" s="14" t="s">
        <v>26</v>
      </c>
      <c r="AF4" s="14" t="s">
        <v>27</v>
      </c>
      <c r="AG4" s="14" t="s">
        <v>28</v>
      </c>
      <c r="AH4" s="14" t="s">
        <v>29</v>
      </c>
      <c r="AI4" s="15" t="s">
        <v>30</v>
      </c>
      <c r="AJ4" s="15" t="s">
        <v>31</v>
      </c>
      <c r="AK4" s="11" t="s">
        <v>32</v>
      </c>
      <c r="AL4" s="11" t="s">
        <v>33</v>
      </c>
      <c r="AM4" s="11" t="s">
        <v>34</v>
      </c>
      <c r="AN4" s="11" t="s">
        <v>35</v>
      </c>
      <c r="AO4" s="11" t="s">
        <v>36</v>
      </c>
      <c r="AP4" s="11" t="s">
        <v>37</v>
      </c>
      <c r="AQ4" s="11" t="s">
        <v>38</v>
      </c>
      <c r="AR4" s="16"/>
    </row>
    <row r="5" customFormat="false" ht="12.8" hidden="false" customHeight="false" outlineLevel="0" collapsed="false">
      <c r="A5" s="17" t="s">
        <v>39</v>
      </c>
      <c r="B5" s="17" t="s">
        <v>40</v>
      </c>
      <c r="C5" s="17" t="s">
        <v>40</v>
      </c>
      <c r="D5" s="17" t="s">
        <v>40</v>
      </c>
      <c r="E5" s="18" t="s">
        <v>41</v>
      </c>
      <c r="F5" s="19" t="s">
        <v>42</v>
      </c>
      <c r="G5" s="17" t="s">
        <v>43</v>
      </c>
      <c r="H5" s="17" t="s">
        <v>43</v>
      </c>
      <c r="I5" s="20" t="s">
        <v>44</v>
      </c>
      <c r="J5" s="20" t="s">
        <v>45</v>
      </c>
      <c r="K5" s="20" t="s">
        <v>46</v>
      </c>
      <c r="L5" s="19" t="s">
        <v>47</v>
      </c>
      <c r="M5" s="17" t="s">
        <v>31</v>
      </c>
      <c r="N5" s="17" t="s">
        <v>48</v>
      </c>
      <c r="O5" s="18" t="str">
        <f aca="false">IF($G$3="US","Feet","Meters")</f>
        <v>Feet</v>
      </c>
      <c r="P5" s="19" t="s">
        <v>31</v>
      </c>
      <c r="Q5" s="17" t="str">
        <f aca="false">IF($G$3="US","µR/h","nGy/hr")</f>
        <v>µR/h</v>
      </c>
      <c r="R5" s="17" t="s">
        <v>49</v>
      </c>
      <c r="S5" s="20" t="s">
        <v>50</v>
      </c>
      <c r="T5" s="20" t="s">
        <v>51</v>
      </c>
      <c r="U5" s="20" t="s">
        <v>52</v>
      </c>
      <c r="V5" s="18" t="s">
        <v>53</v>
      </c>
      <c r="W5" s="18" t="str">
        <f aca="false">IF($G$3="US","°F","°C")</f>
        <v>°F</v>
      </c>
      <c r="X5" s="19" t="str">
        <f aca="false">IF($G$3="US","°C","°F")</f>
        <v>°C</v>
      </c>
      <c r="Y5" s="17" t="s">
        <v>54</v>
      </c>
      <c r="Z5" s="18" t="str">
        <f aca="false">IF($G$3="US","pCi/L","Bq/m³")</f>
        <v>pCi/L</v>
      </c>
      <c r="AA5" s="17" t="s">
        <v>55</v>
      </c>
      <c r="AB5" s="17" t="s">
        <v>56</v>
      </c>
      <c r="AC5" s="20" t="s">
        <v>57</v>
      </c>
      <c r="AD5" s="20" t="s">
        <v>58</v>
      </c>
      <c r="AE5" s="20" t="s">
        <v>59</v>
      </c>
      <c r="AF5" s="20" t="s">
        <v>60</v>
      </c>
      <c r="AG5" s="20" t="s">
        <v>61</v>
      </c>
      <c r="AH5" s="20" t="s">
        <v>62</v>
      </c>
      <c r="AI5" s="19" t="s">
        <v>63</v>
      </c>
      <c r="AJ5" s="19" t="s">
        <v>64</v>
      </c>
      <c r="AK5" s="17" t="str">
        <f aca="false">IF($G$3="US","pCi/L","Bq/m³")</f>
        <v>pCi/L</v>
      </c>
      <c r="AL5" s="17" t="str">
        <f aca="false">IF($G$3="US","pCi/L","Bq/m³")</f>
        <v>pCi/L</v>
      </c>
      <c r="AM5" s="17" t="s">
        <v>65</v>
      </c>
      <c r="AN5" s="17" t="s">
        <v>66</v>
      </c>
      <c r="AO5" s="17" t="s">
        <v>67</v>
      </c>
      <c r="AP5" s="17" t="s">
        <v>68</v>
      </c>
      <c r="AQ5" s="17" t="s">
        <v>69</v>
      </c>
      <c r="AR5" s="16"/>
    </row>
    <row r="6" s="38" customFormat="true" ht="18.2" hidden="false" customHeight="true" outlineLevel="0" collapsed="false">
      <c r="A6" s="21" t="s">
        <v>70</v>
      </c>
      <c r="B6" s="22" t="n">
        <v>43711.5520833333</v>
      </c>
      <c r="C6" s="22" t="n">
        <v>43711.7173611111</v>
      </c>
      <c r="D6" s="22" t="n">
        <v>43713.75</v>
      </c>
      <c r="E6" s="23" t="n">
        <f aca="false">C6-B6</f>
        <v>0.165277777799929</v>
      </c>
      <c r="F6" s="23" t="n">
        <f aca="false">D6-C6</f>
        <v>2.03263888890069</v>
      </c>
      <c r="G6" s="24" t="n">
        <v>456</v>
      </c>
      <c r="H6" s="25" t="n">
        <v>170</v>
      </c>
      <c r="I6" s="26" t="n">
        <f aca="false">IF(N6="SST",0.314473,0.031243)</f>
        <v>0.314473</v>
      </c>
      <c r="J6" s="26" t="n">
        <f aca="false">IF(N6="SST",0.260619,0.02188)</f>
        <v>0.260619</v>
      </c>
      <c r="K6" s="27" t="n">
        <v>0.087</v>
      </c>
      <c r="L6" s="27" t="n">
        <v>0.224</v>
      </c>
      <c r="M6" s="26" t="n">
        <f aca="false">I6+J6*LN((H6+G6)/2)</f>
        <v>1.81204272931538</v>
      </c>
      <c r="N6" s="28" t="s">
        <v>71</v>
      </c>
      <c r="O6" s="25" t="n">
        <v>300</v>
      </c>
      <c r="P6" s="29" t="n">
        <f aca="false">IF($G$3="US",IF(O6&lt;=4000,1,IF(O6&gt;4000,0.79+(6*O6/100000))),IF(O6&lt;=1219.51,1,IF(O6&gt;1219.51,0.79+(6*(O6*3.28084)/100000))))</f>
        <v>1</v>
      </c>
      <c r="Q6" s="30" t="n">
        <v>10</v>
      </c>
      <c r="R6" s="30" t="s">
        <v>72</v>
      </c>
      <c r="S6" s="31" t="n">
        <v>4.044</v>
      </c>
      <c r="T6" s="31" t="n">
        <f aca="false">IF(R6="Small",0.0657,IF(R6="Large",0.123))</f>
        <v>0.0657</v>
      </c>
      <c r="U6" s="31" t="n">
        <f aca="false">IF(R6="Small",0.033,IF(R6="Large",0.054))</f>
        <v>0.033</v>
      </c>
      <c r="V6" s="32" t="n">
        <f aca="false">S6-T6-U6-L6</f>
        <v>3.7213</v>
      </c>
      <c r="W6" s="25" t="n">
        <v>65</v>
      </c>
      <c r="X6" s="33" t="n">
        <f aca="false">IF($G$3="US",(W6-32)*5/9,(W6*9/5+32))</f>
        <v>18.3333333333333</v>
      </c>
      <c r="Y6" s="32" t="n">
        <f aca="false">IF($G$3="US",(0.52842332-0.108844754)*EXP(-0.051255005*X6)+0.108844754,(0.52842332-0.108844754)*EXP(-0.051255005*W6)+0.108844754)</f>
        <v>0.27279708182408</v>
      </c>
      <c r="Z6" s="34" t="n">
        <f aca="false">IF($G$3="US",((G6-H6-IF(N6="SST",0.066667,0.022223)*(F6))/(F6*M6)-(K6*Q6))*P6,((G6-H6-IF(N6="SST",0.066667,0.022223)*(F6))/(F6*M6)-(K6/8.696*Q6))*P6*37)</f>
        <v>76.7424773454441</v>
      </c>
      <c r="AA6" s="35" t="n">
        <v>0.1814</v>
      </c>
      <c r="AB6" s="35" t="n">
        <f aca="false">F6*AA6</f>
        <v>0.368720694446585</v>
      </c>
      <c r="AC6" s="35" t="n">
        <f aca="false">Z6*AB6</f>
        <v>28.2965395403634</v>
      </c>
      <c r="AD6" s="35" t="n">
        <f aca="false">(V6/T6)+Y6</f>
        <v>56.913588558232</v>
      </c>
      <c r="AE6" s="35" t="n">
        <f aca="false">AC6*AD6</f>
        <v>1610.45760902199</v>
      </c>
      <c r="AF6" s="35" t="n">
        <f aca="false">EXP(-AA6*E6)</f>
        <v>0.97046359478233</v>
      </c>
      <c r="AG6" s="35" t="n">
        <f aca="false">(1-EXP(-AB6))</f>
        <v>0.308381443620671</v>
      </c>
      <c r="AH6" s="35" t="n">
        <f aca="false">AF6*AG6</f>
        <v>0.299272964340281</v>
      </c>
      <c r="AI6" s="35" t="n">
        <f aca="false">IF(AE6/AH6&lt;0,0,AE6/AH6)</f>
        <v>5381.23319148487</v>
      </c>
      <c r="AJ6" s="35" t="n">
        <f aca="false">AI6*1.15</f>
        <v>6188.4181702076</v>
      </c>
      <c r="AK6" s="34" t="n">
        <f aca="false">IF($O$3="Yes",AJ6,AI6)</f>
        <v>6188.4181702076</v>
      </c>
      <c r="AL6" s="34" t="n">
        <f aca="false">IF(AK6&gt;0,(SQRT(SUMSQ((5),(100*1.4/(G6-H6)),(100*0.1/Z6)))/100)*AK6,"")</f>
        <v>311.004803671236</v>
      </c>
      <c r="AM6" s="36" t="n">
        <f aca="false">IF(AK6&gt;0,AL6/AK6,"")</f>
        <v>0.0502559450763172</v>
      </c>
      <c r="AN6" s="36" t="n">
        <v>0.05</v>
      </c>
      <c r="AO6" s="36" t="n">
        <f aca="false">(100*1.4)/(G6-H6)/100</f>
        <v>0.0048951048951049</v>
      </c>
      <c r="AP6" s="36" t="n">
        <f aca="false">IF(Z6&gt;0,0.1/Z6,0.1)</f>
        <v>0.00130305931550614</v>
      </c>
      <c r="AQ6" s="36" t="n">
        <f aca="false">SQRT(AN6*AN6+AO6*AO6+AP6*AP6)</f>
        <v>0.0502559450763172</v>
      </c>
      <c r="AR6" s="37"/>
      <c r="AMJ6" s="0"/>
    </row>
    <row r="7" s="38" customFormat="true" ht="18.2" hidden="false" customHeight="true" outlineLevel="0" collapsed="false">
      <c r="A7" s="21" t="s">
        <v>73</v>
      </c>
      <c r="B7" s="22" t="n">
        <v>43711.5520833333</v>
      </c>
      <c r="C7" s="22" t="n">
        <v>43711.7173611111</v>
      </c>
      <c r="D7" s="22" t="n">
        <v>43713.75</v>
      </c>
      <c r="E7" s="23" t="n">
        <f aca="false">C7-B7</f>
        <v>0.165277777799929</v>
      </c>
      <c r="F7" s="23" t="n">
        <f aca="false">D7-C7</f>
        <v>2.03263888890069</v>
      </c>
      <c r="G7" s="24" t="n">
        <v>750</v>
      </c>
      <c r="H7" s="25" t="n">
        <v>698</v>
      </c>
      <c r="I7" s="26" t="n">
        <f aca="false">IF(N7="SST",0.314473,0.031243)</f>
        <v>0.031243</v>
      </c>
      <c r="J7" s="26" t="n">
        <f aca="false">IF(N7="SST",0.260619,0.02188)</f>
        <v>0.02188</v>
      </c>
      <c r="K7" s="27" t="n">
        <v>0.087</v>
      </c>
      <c r="L7" s="27" t="n">
        <v>0.224</v>
      </c>
      <c r="M7" s="26" t="n">
        <f aca="false">I7+J7*LN((H7+G7)/2)</f>
        <v>0.175318235665399</v>
      </c>
      <c r="N7" s="28" t="s">
        <v>74</v>
      </c>
      <c r="O7" s="25" t="n">
        <v>300</v>
      </c>
      <c r="P7" s="29" t="n">
        <f aca="false">IF($G$3="US",IF(O7&lt;=4000,1,IF(O7&gt;4000,0.79+(6*O7/100000))),IF(O7&lt;=1219.51,1,IF(O7&gt;1219.51,0.79+(6*(O7*3.28084)/100000))))</f>
        <v>1</v>
      </c>
      <c r="Q7" s="30" t="n">
        <v>10</v>
      </c>
      <c r="R7" s="30" t="s">
        <v>75</v>
      </c>
      <c r="S7" s="31" t="n">
        <v>4.044</v>
      </c>
      <c r="T7" s="31" t="n">
        <f aca="false">IF(R7="Small",0.0657,IF(R7="Large",0.123))</f>
        <v>0.123</v>
      </c>
      <c r="U7" s="31" t="n">
        <f aca="false">IF(R7="Small",0.033,IF(R7="Large",0.054))</f>
        <v>0.054</v>
      </c>
      <c r="V7" s="32" t="n">
        <f aca="false">S7-T7-U7-L7</f>
        <v>3.643</v>
      </c>
      <c r="W7" s="25" t="n">
        <v>65</v>
      </c>
      <c r="X7" s="33" t="n">
        <f aca="false">IF($G$3="US",(W7-32)*5/9,(W7*9/5+32))</f>
        <v>18.3333333333333</v>
      </c>
      <c r="Y7" s="32" t="n">
        <f aca="false">IF($G$3="US",(0.52842332-0.108844754)*EXP(-0.051255005*X7)+0.108844754,(0.52842332-0.108844754)*EXP(-0.051255005*W7)+0.108844754)</f>
        <v>0.27279708182408</v>
      </c>
      <c r="Z7" s="34" t="n">
        <f aca="false">IF($G$3="US",((G7-H7-IF(N7="SST",0.066667,0.022223)*(F7))/(F7*M7)-(K7*Q7))*P7,((G7-H7-IF(N7="SST",0.066667,0.022223)*(F7))/(F7*M7)-(K7/8.696*Q7))*P7*37)</f>
        <v>144.923645423661</v>
      </c>
      <c r="AA7" s="35" t="n">
        <v>0.1814</v>
      </c>
      <c r="AB7" s="35" t="n">
        <f aca="false">F7*AA7</f>
        <v>0.368720694446585</v>
      </c>
      <c r="AC7" s="35" t="n">
        <f aca="false">Z7*AB7</f>
        <v>53.436347182343</v>
      </c>
      <c r="AD7" s="35" t="n">
        <f aca="false">(V7/T7)+Y7</f>
        <v>29.8906832606859</v>
      </c>
      <c r="AE7" s="35" t="n">
        <f aca="false">AC7*AD7</f>
        <v>1597.24892823546</v>
      </c>
      <c r="AF7" s="35" t="n">
        <f aca="false">EXP(-AA7*E7)</f>
        <v>0.97046359478233</v>
      </c>
      <c r="AG7" s="35" t="n">
        <f aca="false">(1-EXP(-AB7))</f>
        <v>0.308381443620671</v>
      </c>
      <c r="AH7" s="35" t="n">
        <f aca="false">AF7*AG7</f>
        <v>0.299272964340281</v>
      </c>
      <c r="AI7" s="35" t="n">
        <f aca="false">IF(AE7/AH7&lt;0,0,AE7/AH7)</f>
        <v>5337.09729429267</v>
      </c>
      <c r="AJ7" s="35" t="n">
        <f aca="false">AI7*1.15</f>
        <v>6137.66188843657</v>
      </c>
      <c r="AK7" s="34" t="n">
        <f aca="false">IF($O$3="Yes",AJ7,AI7)</f>
        <v>6137.66188843657</v>
      </c>
      <c r="AL7" s="34" t="n">
        <f aca="false">IF(AK7&gt;0,(SQRT(SUMSQ((5),(100*1.4/(G7-H7)),(100*0.1/Z7)))/100)*AK7,"")</f>
        <v>348.569928215421</v>
      </c>
      <c r="AM7" s="36" t="n">
        <f aca="false">IF(AK7&gt;0,AL7/AK7,"")</f>
        <v>0.0567919729941676</v>
      </c>
      <c r="AN7" s="36" t="n">
        <v>0.05</v>
      </c>
      <c r="AO7" s="36" t="n">
        <f aca="false">(100*1.4)/(G7-H7)/100</f>
        <v>0.0269230769230769</v>
      </c>
      <c r="AP7" s="36" t="n">
        <f aca="false">IF(Z7&gt;0,0.1/Z7,0.1)</f>
        <v>0.000690018524635272</v>
      </c>
      <c r="AQ7" s="36" t="n">
        <f aca="false">SQRT(AN7*AN7+AO7*AO7+AP7*AP7)</f>
        <v>0.0567919729941676</v>
      </c>
      <c r="AR7" s="37"/>
      <c r="AMJ7" s="0"/>
    </row>
    <row r="9" customFormat="false" ht="12.8" hidden="false" customHeight="false" outlineLevel="0" collapsed="false">
      <c r="A9" s="39" t="str">
        <f aca="false">IF($G$3="US","Standardized Rad Elec Analysis Jar is 4.044 L.","Standardized Rad Elec Analysis Jar is 0.004044 m³.")</f>
        <v>Standardized Rad Elec Analysis Jar is 4.044 L.</v>
      </c>
    </row>
    <row r="10" customFormat="false" ht="12.8" hidden="false" customHeight="false" outlineLevel="0" collapsed="false">
      <c r="A10" s="39" t="s">
        <v>76</v>
      </c>
    </row>
    <row r="11" customFormat="false" ht="12.8" hidden="false" customHeight="false" outlineLevel="0" collapsed="false">
      <c r="A11" s="39" t="s">
        <v>77</v>
      </c>
    </row>
    <row r="12" customFormat="false" ht="12.8" hidden="false" customHeight="false" outlineLevel="0" collapsed="false">
      <c r="A12" s="40" t="s">
        <v>78</v>
      </c>
    </row>
    <row r="14" customFormat="false" ht="12.8" hidden="false" customHeight="false" outlineLevel="0" collapsed="false">
      <c r="A14" s="40" t="s">
        <v>79</v>
      </c>
    </row>
  </sheetData>
  <sheetProtection sheet="true" objects="true" scenarios="true" selectLockedCells="true"/>
  <mergeCells count="7">
    <mergeCell ref="E3:F3"/>
    <mergeCell ref="M3:N3"/>
    <mergeCell ref="E4:F4"/>
    <mergeCell ref="I4:L4"/>
    <mergeCell ref="O4:P4"/>
    <mergeCell ref="S4:U4"/>
    <mergeCell ref="W4:X4"/>
  </mergeCells>
  <dataValidations count="9">
    <dataValidation allowBlank="false" error="You must select either US or SI as your measurement units." errorTitle="Measurement Units" operator="equal" prompt="Please remember to double-check your values (Elevation, Gamma, Volumes, and Sample Temperatures) when converting between US and SI units." promptTitle="US/SI Units" showDropDown="false" showErrorMessage="true" showInputMessage="true" sqref="G3" type="list">
      <formula1>"US,SI"</formula1>
      <formula2>0</formula2>
    </dataValidation>
    <dataValidation allowBlank="true" operator="equal" promptTitle="Use 115% CF?" showDropDown="false" showErrorMessage="true" showInputMessage="true" sqref="M3" type="none">
      <formula1>0</formula1>
      <formula2>0</formula2>
    </dataValidation>
    <dataValidation allowBlank="false" error="You must select either YES or NO, depending on whether or not you wish to employ the CF that will multiply your final results by 1.15." errorTitle="Employ 1.15 CF?" operator="equal" prompt="Standardized procedures were found to be about 15% lower when compared to the liquid scintillation method employed by the US EPA. As such, Rad Elec multiplies its final radon-in-water results by 115%. Do you wish to do this?" promptTitle="Use 115% CF?" showDropDown="false" showErrorMessage="true" showInputMessage="true" sqref="O3" type="list">
      <formula1>"Yes,No"</formula1>
      <formula2>0</formula2>
    </dataValidation>
    <dataValidation allowBlank="true" operator="equal" prompt="This is the Greek letter, gamma. Enter your background in the blue background cells below." promptTitle="Gamma" showDropDown="false" showErrorMessage="true" showInputMessage="true" sqref="Q4" type="none">
      <formula1>0</formula1>
      <formula2>0</formula2>
    </dataValidation>
    <dataValidation allowBlank="true" operator="equal" prompt="Select either &quot;Small&quot; or &quot;Large&quot; if using the sample bottles purchased from Rad Elec. If using a custom sample volume, select &quot;Custom&quot; from the dropdown list." promptTitle="Sample Volume" showDropDown="false" showErrorMessage="false" showInputMessage="true" sqref="R4" type="none">
      <formula1>0</formula1>
      <formula2>0</formula2>
    </dataValidation>
    <dataValidation allowBlank="false" error="You must enter a valid electret ion chamber configuration, either SST or SLT." errorTitle="EIC Config" operator="equal" showDropDown="false" showErrorMessage="true" showInputMessage="false" sqref="N6:N7" type="list">
      <formula1>"SST,SLT"</formula1>
      <formula2>0</formula2>
    </dataValidation>
    <dataValidation allowBlank="false" operator="equal" showDropDown="false" showErrorMessage="true" showInputMessage="false" sqref="R6" type="list">
      <formula1>"Small,Large,Custom"</formula1>
      <formula2>0</formula2>
    </dataValidation>
    <dataValidation allowBlank="true" operator="equal" showDropDown="false" showErrorMessage="true" showInputMessage="false" sqref="T6:U6" type="none">
      <formula1>0</formula1>
      <formula2>0</formula2>
    </dataValidation>
    <dataValidation allowBlank="false" operator="equal" showDropDown="false" showErrorMessage="true" showInputMessage="false" sqref="R7" type="list">
      <formula1>"Small,Large,Custom"</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225</TotalTime>
  <Application>LibreOffice/6.4.1.2$Windows_X86_64 LibreOffice_project/4d224e95b98b138af42a64d84056446d09082932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2017-05-23T21:08:49Z</dcterms:created>
  <dc:creator>Lorin</dc:creator>
  <dc:description/>
  <dc:language>en-US</dc:language>
  <cp:lastModifiedBy/>
  <dcterms:modified xsi:type="dcterms:W3CDTF">2020-09-30T00:19:01Z</dcterms:modified>
  <cp:revision>40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