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H2O Template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<sst xmlns="http://schemas.openxmlformats.org/spreadsheetml/2006/main" count="64" uniqueCount="57">
  <si>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Radon in Water Spreadsheet</t>
  </si>
  <si>
    <t>v4</t>
  </si>
  <si>
    <t>15 May 2017</t>
  </si>
  <si>
    <t>(data entry only in blue background fields)</t>
  </si>
  <si>
    <t>US/SI Units</t>
  </si>
  <si>
    <t>US</t>
  </si>
  <si>
    <t>Electret</t>
  </si>
  <si>
    <t>Sample Collection</t>
  </si>
  <si>
    <t>Start</t>
  </si>
  <si>
    <t>End</t>
  </si>
  <si>
    <t>Total Days</t>
  </si>
  <si>
    <t>Initial</t>
  </si>
  <si>
    <t>Final</t>
  </si>
  <si>
    <t>EIC Configuration Constants</t>
  </si>
  <si>
    <t>EIC</t>
  </si>
  <si>
    <t>Elevation</t>
  </si>
  <si>
    <t>γ</t>
  </si>
  <si>
    <t>Corrected</t>
  </si>
  <si>
    <t>Temperature</t>
  </si>
  <si>
    <t>Ostwald</t>
  </si>
  <si>
    <t>Radon in Air</t>
  </si>
  <si>
    <t>k1</t>
  </si>
  <si>
    <t>k2</t>
  </si>
  <si>
    <t>k3</t>
  </si>
  <si>
    <t>k4</t>
  </si>
  <si>
    <t>k5</t>
  </si>
  <si>
    <t>k6</t>
  </si>
  <si>
    <t>k7</t>
  </si>
  <si>
    <t>CF</t>
  </si>
  <si>
    <t>Radon in Water</t>
  </si>
  <si>
    <t>Serial Number</t>
  </si>
  <si>
    <t>Date/Time</t>
  </si>
  <si>
    <t>Delay</t>
  </si>
  <si>
    <t>Exposure</t>
  </si>
  <si>
    <t>Voltage</t>
  </si>
  <si>
    <t>A</t>
  </si>
  <si>
    <t>B</t>
  </si>
  <si>
    <t>G</t>
  </si>
  <si>
    <t>Volume (L)</t>
  </si>
  <si>
    <t>Config</t>
  </si>
  <si>
    <t>Air</t>
  </si>
  <si>
    <t>Water</t>
  </si>
  <si>
    <t>Air Volume</t>
  </si>
  <si>
    <t>Coefficient</t>
  </si>
  <si>
    <t>k</t>
  </si>
  <si>
    <t>kT</t>
  </si>
  <si>
    <t>AvC(Rn)A*kT</t>
  </si>
  <si>
    <t>VA/VW+L</t>
  </si>
  <si>
    <t>k1*k2</t>
  </si>
  <si>
    <t>exp(-kD)</t>
  </si>
  <si>
    <t>1-exp(-kT)</t>
  </si>
  <si>
    <t>k4*k5</t>
  </si>
  <si>
    <t>k3/k6</t>
  </si>
  <si>
    <t>k7*1.15</t>
  </si>
  <si>
    <t>SAA001</t>
  </si>
  <si>
    <t>SST</t>
  </si>
  <si>
    <t>SAA002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</si>
</sst>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"/>
    <numFmt numFmtId="165" formatCode="0.000000"/>
    <numFmt numFmtId="166" formatCode="0.0"/>
    <numFmt numFmtId="167" formatCode="0.000"/>
    <numFmt numFmtId="168" formatCode="0.0000"/>
  </numFmts>
  <fonts count="42">
    <font>
      <sz val="10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22" fontId="6" fillId="35" borderId="19" xfId="0" applyNumberFormat="1" applyFont="1" applyFill="1" applyBorder="1" applyAlignment="1" applyProtection="1">
      <alignment horizontal="center" vertical="center"/>
      <protection locked="0"/>
    </xf>
    <xf numFmtId="164" fontId="6" fillId="35" borderId="19" xfId="0" applyNumberFormat="1" applyFont="1" applyFill="1" applyBorder="1" applyAlignment="1" applyProtection="1">
      <alignment horizontal="center" vertical="center"/>
      <protection locked="0"/>
    </xf>
    <xf numFmtId="2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65" fontId="6" fillId="34" borderId="19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34" borderId="19" xfId="0" applyNumberFormat="1" applyFont="1" applyFill="1" applyBorder="1" applyAlignment="1">
      <alignment horizontal="center" vertical="center"/>
    </xf>
    <xf numFmtId="166" fontId="6" fillId="35" borderId="19" xfId="0" applyNumberFormat="1" applyFont="1" applyFill="1" applyBorder="1" applyAlignment="1" applyProtection="1">
      <alignment horizontal="center" vertical="center"/>
      <protection locked="0"/>
    </xf>
    <xf numFmtId="167" fontId="6" fillId="35" borderId="19" xfId="0" applyNumberFormat="1" applyFont="1" applyFill="1" applyBorder="1" applyAlignment="1" applyProtection="1">
      <alignment horizontal="center" vertical="center"/>
      <protection locked="0"/>
    </xf>
    <xf numFmtId="167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166" fontId="6" fillId="34" borderId="19" xfId="0" applyNumberFormat="1" applyFont="1" applyFill="1" applyBorder="1" applyAlignment="1">
      <alignment horizontal="center" vertical="center"/>
    </xf>
    <xf numFmtId="168" fontId="6" fillId="34" borderId="19" xfId="0" applyNumberFormat="1" applyFont="1" applyFill="1" applyBorder="1" applyAlignment="1">
      <alignment horizontal="center" vertical="center"/>
    </xf>
    <xf numFmtId="166" fontId="4" fillId="34" borderId="19" xfId="0" applyNumberFormat="1" applyFont="1" applyFill="1" applyBorder="1" applyAlignment="1" applyProtection="1">
      <alignment horizontal="center" vertical="center"/>
      <protection locked="0"/>
    </xf>
    <xf numFmtId="166" fontId="4" fillId="34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="120" zoomScaleNormal="120" zoomScalePageLayoutView="0" workbookViewId="0" topLeftCell="A1">
      <selection activeCell="A2" sqref="A2"/>
    </sheetView>
  </sheetViews>
  <sheetFormatPr defaultColWidth="11.57421875" defaultRowHeight="12.75"/>
  <cols>
    <col min="1" max="4" width="19.421875" style="0" customWidth="1"/>
    <col min="5" max="5" width="7.7109375" style="0" customWidth="1"/>
    <col min="6" max="8" width="9.00390625" style="0" customWidth="1"/>
    <col min="9" max="12" width="0" style="0" hidden="1" customWidth="1"/>
    <col min="13" max="13" width="11.00390625" style="0" customWidth="1"/>
    <col min="14" max="15" width="9.00390625" style="0" customWidth="1"/>
    <col min="16" max="17" width="7.7109375" style="0" customWidth="1"/>
    <col min="18" max="18" width="10.140625" style="0" customWidth="1"/>
    <col min="19" max="19" width="11.28125" style="0" customWidth="1"/>
    <col min="20" max="20" width="13.421875" style="0" customWidth="1"/>
    <col min="21" max="22" width="6.57421875" style="0" customWidth="1"/>
    <col min="23" max="23" width="11.57421875" style="0" customWidth="1"/>
    <col min="24" max="34" width="0" style="0" hidden="1" customWidth="1"/>
    <col min="35" max="35" width="15.57421875" style="0" customWidth="1"/>
  </cols>
  <sheetData>
    <row r="1" spans="1:25" s="4" customFormat="1" ht="34.5" customHeight="1">
      <c r="A1" s="1" t="s">
        <v>0</v>
      </c>
      <c r="B1"/>
      <c r="C1"/>
      <c r="D1"/>
      <c r="E1" s="2" t="s">
        <v>1</v>
      </c>
      <c r="F1" s="3" t="s">
        <v>2</v>
      </c>
      <c r="Y1" s="1"/>
    </row>
    <row r="2" spans="1:18" s="4" customFormat="1" ht="25.5">
      <c r="A2"/>
      <c r="C2" s="5"/>
      <c r="D2"/>
      <c r="R2" s="6"/>
    </row>
    <row r="3" spans="1:7" s="4" customFormat="1" ht="27.75" customHeight="1">
      <c r="A3" s="7" t="s">
        <v>3</v>
      </c>
      <c r="B3"/>
      <c r="C3"/>
      <c r="D3"/>
      <c r="E3" s="39" t="s">
        <v>4</v>
      </c>
      <c r="F3" s="39"/>
      <c r="G3" s="8" t="s">
        <v>5</v>
      </c>
    </row>
    <row r="4" spans="1:35" s="4" customFormat="1" ht="12.75">
      <c r="A4" s="9" t="s">
        <v>6</v>
      </c>
      <c r="B4" s="9" t="s">
        <v>7</v>
      </c>
      <c r="C4" s="9" t="s">
        <v>8</v>
      </c>
      <c r="D4" s="9" t="s">
        <v>9</v>
      </c>
      <c r="E4" s="40" t="s">
        <v>10</v>
      </c>
      <c r="F4" s="40"/>
      <c r="G4" s="9" t="s">
        <v>11</v>
      </c>
      <c r="H4" s="9" t="s">
        <v>12</v>
      </c>
      <c r="I4" s="41" t="s">
        <v>13</v>
      </c>
      <c r="J4" s="41"/>
      <c r="K4" s="41"/>
      <c r="L4" s="41"/>
      <c r="M4" s="9" t="s">
        <v>14</v>
      </c>
      <c r="N4" s="9" t="s">
        <v>14</v>
      </c>
      <c r="O4" s="41" t="s">
        <v>15</v>
      </c>
      <c r="P4" s="41"/>
      <c r="Q4" s="11" t="s">
        <v>16</v>
      </c>
      <c r="R4" s="42" t="str">
        <f>IF($G$3="US","Volume (L)","Volume (m³)")</f>
        <v>Volume (L)</v>
      </c>
      <c r="S4" s="42"/>
      <c r="T4" s="10" t="s">
        <v>17</v>
      </c>
      <c r="U4" s="40" t="s">
        <v>18</v>
      </c>
      <c r="V4" s="40"/>
      <c r="W4" s="9" t="s">
        <v>19</v>
      </c>
      <c r="X4" s="9" t="s">
        <v>20</v>
      </c>
      <c r="Y4" s="9"/>
      <c r="Z4" s="9"/>
      <c r="AA4" s="12" t="s">
        <v>21</v>
      </c>
      <c r="AB4" s="12" t="s">
        <v>22</v>
      </c>
      <c r="AC4" s="12" t="s">
        <v>23</v>
      </c>
      <c r="AD4" s="12" t="s">
        <v>24</v>
      </c>
      <c r="AE4" s="12" t="s">
        <v>25</v>
      </c>
      <c r="AF4" s="12" t="s">
        <v>26</v>
      </c>
      <c r="AG4" s="13" t="s">
        <v>27</v>
      </c>
      <c r="AH4" s="13" t="s">
        <v>28</v>
      </c>
      <c r="AI4" s="9" t="s">
        <v>29</v>
      </c>
    </row>
    <row r="5" spans="1:35" s="4" customFormat="1" ht="12.75">
      <c r="A5" s="14" t="s">
        <v>30</v>
      </c>
      <c r="B5" s="14" t="s">
        <v>31</v>
      </c>
      <c r="C5" s="14" t="s">
        <v>31</v>
      </c>
      <c r="D5" s="14" t="s">
        <v>31</v>
      </c>
      <c r="E5" s="15" t="s">
        <v>32</v>
      </c>
      <c r="F5" s="16" t="s">
        <v>33</v>
      </c>
      <c r="G5" s="14" t="s">
        <v>34</v>
      </c>
      <c r="H5" s="14" t="s">
        <v>34</v>
      </c>
      <c r="I5" s="17" t="s">
        <v>35</v>
      </c>
      <c r="J5" s="17" t="s">
        <v>36</v>
      </c>
      <c r="K5" s="17" t="s">
        <v>37</v>
      </c>
      <c r="L5" s="16" t="s">
        <v>38</v>
      </c>
      <c r="M5" s="14" t="s">
        <v>28</v>
      </c>
      <c r="N5" s="14" t="s">
        <v>39</v>
      </c>
      <c r="O5" s="15" t="str">
        <f>IF($G$3="US","Feet","Meters")</f>
        <v>Feet</v>
      </c>
      <c r="P5" s="16" t="s">
        <v>28</v>
      </c>
      <c r="Q5" s="18" t="str">
        <f>IF($G$3="US","µR/h","nGy/hr")</f>
        <v>µR/h</v>
      </c>
      <c r="R5" s="17" t="s">
        <v>40</v>
      </c>
      <c r="S5" s="17" t="s">
        <v>41</v>
      </c>
      <c r="T5" s="15" t="s">
        <v>42</v>
      </c>
      <c r="U5" s="19" t="str">
        <f>IF($G$3="US","°F","°C")</f>
        <v>°F</v>
      </c>
      <c r="V5" s="20" t="str">
        <f>IF($G$3="US","°C","°F")</f>
        <v>°C</v>
      </c>
      <c r="W5" s="14" t="s">
        <v>43</v>
      </c>
      <c r="X5" s="15" t="str">
        <f>IF($G$3="US","pCi/L","Bq/m³")</f>
        <v>pCi/L</v>
      </c>
      <c r="Y5" s="14" t="s">
        <v>44</v>
      </c>
      <c r="Z5" s="14" t="s">
        <v>45</v>
      </c>
      <c r="AA5" s="17" t="s">
        <v>46</v>
      </c>
      <c r="AB5" s="17" t="s">
        <v>47</v>
      </c>
      <c r="AC5" s="17" t="s">
        <v>48</v>
      </c>
      <c r="AD5" s="17" t="s">
        <v>49</v>
      </c>
      <c r="AE5" s="17" t="s">
        <v>50</v>
      </c>
      <c r="AF5" s="17" t="s">
        <v>51</v>
      </c>
      <c r="AG5" s="16" t="s">
        <v>52</v>
      </c>
      <c r="AH5" s="16" t="s">
        <v>53</v>
      </c>
      <c r="AI5" s="14" t="str">
        <f>IF($G$3="US","pCi/L","Bq/m³")</f>
        <v>pCi/L</v>
      </c>
    </row>
    <row r="6" spans="1:35" s="38" customFormat="1" ht="18" customHeight="1">
      <c r="A6" s="21" t="s">
        <v>54</v>
      </c>
      <c r="B6" s="22">
        <v>42760.416666666664</v>
      </c>
      <c r="C6" s="22">
        <v>42761.729166666664</v>
      </c>
      <c r="D6" s="22">
        <v>42762.729166666664</v>
      </c>
      <c r="E6" s="23">
        <f>C6-B6</f>
        <v>1.3125</v>
      </c>
      <c r="F6" s="23">
        <f>D6-C6</f>
        <v>1</v>
      </c>
      <c r="G6" s="24">
        <v>510</v>
      </c>
      <c r="H6" s="25">
        <v>490</v>
      </c>
      <c r="I6" s="26">
        <f>IF(N6="SST",0.314473,0.031243)</f>
        <v>0.314473</v>
      </c>
      <c r="J6" s="26">
        <f>IF(N6="SST",0.260619,0.031243)</f>
        <v>0.260619</v>
      </c>
      <c r="K6" s="27">
        <v>0.08700000000000001</v>
      </c>
      <c r="L6" s="27">
        <v>0.21</v>
      </c>
      <c r="M6" s="27">
        <f>I6+J6*LN((H6+G6)/2)</f>
        <v>1.934117948002693</v>
      </c>
      <c r="N6" s="28" t="s">
        <v>55</v>
      </c>
      <c r="O6" s="25">
        <v>300</v>
      </c>
      <c r="P6" s="29">
        <f>IF(G3="US",IF(O6&lt;=4000,1,IF(O6&gt;4000,0.79+(6*O6/100000))),IF(O6&lt;=1219.51,1,IF(O6&gt;1219.51,0.79+(6*(O6*3.28)/100000))))</f>
        <v>1</v>
      </c>
      <c r="Q6" s="30">
        <v>10</v>
      </c>
      <c r="R6" s="31">
        <v>4.044</v>
      </c>
      <c r="S6" s="31">
        <v>0.068</v>
      </c>
      <c r="T6" s="32">
        <f>R6-S6-L6</f>
        <v>3.7659999999999996</v>
      </c>
      <c r="U6" s="33">
        <v>68</v>
      </c>
      <c r="V6" s="34">
        <f>(U6-32)*5/9</f>
        <v>20</v>
      </c>
      <c r="W6" s="35">
        <f>IF($G$3="US",(0.52842332-0.108844754)*EXP(-0.051255005*V6)+0.108844754,(0.52842332-0.108844754)*EXP(-0.051255005*U6)+0.108844754)</f>
        <v>0.2593729918101206</v>
      </c>
      <c r="X6" s="36">
        <f>IF($G$3="US",((G6-H6-0.066667*(F6))/(F6*M6)-(K6*Q6))*P6,((G6-H6-0.066667*(F6))/(F6*M6)-(K6/8.696*Q6))*P6*37)</f>
        <v>9.436162052104716</v>
      </c>
      <c r="Y6" s="27">
        <v>0.1814</v>
      </c>
      <c r="Z6" s="27">
        <f>F6*Y6</f>
        <v>0.1814</v>
      </c>
      <c r="AA6" s="27">
        <f>X6*Z6</f>
        <v>1.7117197962517956</v>
      </c>
      <c r="AB6" s="27">
        <f>IF($G$3="US",(T6/S6)+W6,((T6*1000)/(S6*1000))+W6)</f>
        <v>55.641725932986574</v>
      </c>
      <c r="AC6" s="27">
        <f>AA6*AB6</f>
        <v>95.24304377711003</v>
      </c>
      <c r="AD6" s="27">
        <f>EXP(-Y6*E6)</f>
        <v>0.7881337263755501</v>
      </c>
      <c r="AE6" s="27">
        <f>(1-EXP(-Z6))</f>
        <v>0.1658983487017598</v>
      </c>
      <c r="AF6" s="27">
        <f>AD6*AE6</f>
        <v>0.13075008376186836</v>
      </c>
      <c r="AG6" s="27">
        <f>AC6/AF6</f>
        <v>728.4358146230609</v>
      </c>
      <c r="AH6" s="27">
        <f>AG6*1.15</f>
        <v>837.7011868165199</v>
      </c>
      <c r="AI6" s="37">
        <f>AH6</f>
        <v>837.7011868165199</v>
      </c>
    </row>
    <row r="7" spans="1:35" s="38" customFormat="1" ht="18" customHeight="1">
      <c r="A7" s="21" t="s">
        <v>56</v>
      </c>
      <c r="B7" s="22">
        <v>42760.416666666664</v>
      </c>
      <c r="C7" s="22">
        <v>42761.729166666664</v>
      </c>
      <c r="D7" s="22">
        <v>42762.729166666664</v>
      </c>
      <c r="E7" s="23">
        <f>C7-B7</f>
        <v>1.3125</v>
      </c>
      <c r="F7" s="23">
        <f>D7-C7</f>
        <v>1</v>
      </c>
      <c r="G7" s="24">
        <v>510</v>
      </c>
      <c r="H7" s="25">
        <v>490</v>
      </c>
      <c r="I7" s="26">
        <f>IF(N7="SST",0.314473,0.031243)</f>
        <v>0.314473</v>
      </c>
      <c r="J7" s="26">
        <f>IF(N7="SST",0.260619,0.031243)</f>
        <v>0.260619</v>
      </c>
      <c r="K7" s="27">
        <v>0.08700000000000001</v>
      </c>
      <c r="L7" s="27">
        <v>0.21</v>
      </c>
      <c r="M7" s="27">
        <f>I7+J7*LN((H7+G7)/2)</f>
        <v>1.934117948002693</v>
      </c>
      <c r="N7" s="28" t="s">
        <v>55</v>
      </c>
      <c r="O7" s="25">
        <v>300</v>
      </c>
      <c r="P7" s="29">
        <f>IF(G4="US",IF(O7&lt;=4000,1,IF(O7&gt;4000,0.79+(6*O7/100000))),IF(O7&lt;=1219.51,1,IF(O7&gt;1219.51,0.79+(6*(O7*3.28)/100000))))</f>
        <v>1</v>
      </c>
      <c r="Q7" s="30">
        <v>10</v>
      </c>
      <c r="R7" s="31">
        <v>4.044</v>
      </c>
      <c r="S7" s="31">
        <v>0.068</v>
      </c>
      <c r="T7" s="32">
        <f>R7-S7-L7</f>
        <v>3.7659999999999996</v>
      </c>
      <c r="U7" s="33">
        <v>68</v>
      </c>
      <c r="V7" s="34">
        <f>(U7-32)*5/9</f>
        <v>20</v>
      </c>
      <c r="W7" s="35">
        <f>IF($G$3="US",(0.52842332-0.108844754)*EXP(-0.051255005*V7)+0.108844754,(0.52842332-0.108844754)*EXP(-0.051255005*U7)+0.108844754)</f>
        <v>0.2593729918101206</v>
      </c>
      <c r="X7" s="36">
        <f>IF($G$3="US",((G7-H7-0.066667*(F7))/(F7*M7)-(K7*Q7))*P7,((G7-H7-0.066667*(F7))/(F7*M7)-(K7/8.696*Q7))*P7*37)</f>
        <v>9.436162052104716</v>
      </c>
      <c r="Y7" s="27">
        <v>0.1814</v>
      </c>
      <c r="Z7" s="27">
        <f>F7*Y7</f>
        <v>0.1814</v>
      </c>
      <c r="AA7" s="27">
        <f>X7*Z7</f>
        <v>1.7117197962517956</v>
      </c>
      <c r="AB7" s="27">
        <f>IF($G$3="US",(T7/S7)+W7,((T7*1000)/(S7*1000))+W7)</f>
        <v>55.641725932986574</v>
      </c>
      <c r="AC7" s="27">
        <f>AA7*AB7</f>
        <v>95.24304377711003</v>
      </c>
      <c r="AD7" s="27">
        <f>EXP(-Y7*E7)</f>
        <v>0.7881337263755501</v>
      </c>
      <c r="AE7" s="27">
        <f>(1-EXP(-Z7))</f>
        <v>0.1658983487017598</v>
      </c>
      <c r="AF7" s="27">
        <f>AD7*AE7</f>
        <v>0.13075008376186836</v>
      </c>
      <c r="AG7" s="27">
        <f>AC7/AF7</f>
        <v>728.4358146230609</v>
      </c>
      <c r="AH7" s="27">
        <f>AG7*1.15</f>
        <v>837.7011868165199</v>
      </c>
      <c r="AI7" s="37">
        <f>AH7</f>
        <v>837.7011868165199</v>
      </c>
    </row>
  </sheetData>
  <sheetProtection selectLockedCells="1" selectUnlockedCells="1"/>
  <mergeCells count="6">
    <mergeCell ref="E3:F3"/>
    <mergeCell ref="E4:F4"/>
    <mergeCell ref="I4:L4"/>
    <mergeCell ref="O4:P4"/>
    <mergeCell ref="R4:S4"/>
    <mergeCell ref="U4:V4"/>
  </mergeCells>
  <dataValidations count="4">
    <dataValidation type="list" operator="equal" showErrorMessage="1" errorTitle="EIC Config" error="You must enter a valid electret ion chamber configuration, either SST or SLT." sqref="N6">
      <formula1>"SST,SLT"</formula1>
    </dataValidation>
    <dataValidation type="list" operator="equal" showErrorMessage="1" errorTitle="EIC Config" error="You must enter a valid electret ion chamber configuration, either SST or SLT." sqref="N7">
      <formula1>"SST,SLT"</formula1>
    </dataValidation>
    <dataValidation operator="equal" allowBlank="1" showInputMessage="1" showErrorMessage="1" promptTitle="Gamma" prompt="This is the Greek letter, gamma. Enter your background in the blue background cells below." sqref="Q4">
      <formula1>0</formula1>
    </dataValidation>
    <dataValidation type="list" operator="equal" showInputMessage="1" showErrorMessage="1" promptTitle="US/SI Units" prompt="Please remember to double-check your values (Elevation, Gamma, Volumes, and Sample Temperatures) when converting between US and SI units." errorTitle="Measurement Units" error="You must select either US or SI as your measurement units." sqref="G3">
      <formula1>"US,SI"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Lorin Stieff</cp:lastModifiedBy>
  <dcterms:modified xsi:type="dcterms:W3CDTF">2017-05-17T15:53:24Z</dcterms:modified>
  <cp:category/>
  <cp:version/>
  <cp:contentType/>
  <cp:contentStatus/>
</cp:coreProperties>
</file>